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14NAS\Multimedia\Docs\140618_Property - QNAP\Property_Hub\70. Coaching Content\3. resources\"/>
    </mc:Choice>
  </mc:AlternateContent>
  <xr:revisionPtr revIDLastSave="0" documentId="13_ncr:1_{0FA77A30-B3A9-446E-B54D-E5F6E18F268A}" xr6:coauthVersionLast="46" xr6:coauthVersionMax="46" xr10:uidLastSave="{00000000-0000-0000-0000-000000000000}"/>
  <bookViews>
    <workbookView xWindow="2820" yWindow="135" windowWidth="22800" windowHeight="14955" firstSheet="1" activeTab="1" xr2:uid="{FC5F9189-D0A0-4C3F-B4C0-408C1790CA71}"/>
  </bookViews>
  <sheets>
    <sheet name="Quick Deal Analysis" sheetId="1" r:id="rId1"/>
    <sheet name="Master" sheetId="2" r:id="rId2"/>
    <sheet name="Glossary" sheetId="4" r:id="rId3"/>
    <sheet name="Master (2)" sheetId="3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H7" i="2"/>
  <c r="H12" i="2"/>
  <c r="M11" i="1"/>
  <c r="J21" i="1"/>
  <c r="J11" i="1"/>
  <c r="B34" i="3"/>
  <c r="B33" i="3"/>
  <c r="G30" i="3"/>
  <c r="G31" i="3"/>
  <c r="B28" i="3"/>
  <c r="G18" i="3"/>
  <c r="G17" i="3"/>
  <c r="B17" i="3"/>
  <c r="D16" i="3"/>
  <c r="G16" i="3"/>
  <c r="G19" i="3"/>
  <c r="G25" i="3"/>
  <c r="G26" i="3"/>
  <c r="G35" i="3"/>
  <c r="G36" i="3"/>
  <c r="D13" i="3"/>
  <c r="D12" i="3"/>
  <c r="D11" i="3"/>
  <c r="D10" i="3"/>
  <c r="D9" i="3"/>
  <c r="B8" i="3"/>
  <c r="D8" i="3"/>
  <c r="G7" i="3"/>
  <c r="G5" i="3"/>
  <c r="G8" i="3"/>
  <c r="G23" i="3"/>
  <c r="G24" i="3"/>
  <c r="G33" i="3"/>
  <c r="G34" i="3"/>
  <c r="D5" i="3"/>
  <c r="D4" i="3"/>
  <c r="C18" i="2"/>
  <c r="E17" i="2"/>
  <c r="B20" i="3"/>
  <c r="B21" i="3"/>
  <c r="D21" i="3"/>
  <c r="D23" i="3"/>
  <c r="B14" i="3"/>
  <c r="E5" i="2"/>
  <c r="E6" i="2"/>
  <c r="H17" i="2"/>
  <c r="H18" i="2"/>
  <c r="E10" i="2"/>
  <c r="E11" i="2"/>
  <c r="E12" i="2"/>
  <c r="E13" i="2"/>
  <c r="E14" i="2"/>
  <c r="H10" i="2"/>
  <c r="H11" i="2"/>
  <c r="C21" i="2"/>
  <c r="C22" i="2"/>
  <c r="E22" i="2"/>
  <c r="C30" i="2"/>
  <c r="H32" i="2"/>
  <c r="H33" i="2"/>
  <c r="C46" i="2"/>
  <c r="G49" i="1"/>
  <c r="E9" i="2"/>
  <c r="C15" i="2"/>
  <c r="C27" i="2"/>
  <c r="B23" i="3"/>
  <c r="H19" i="2"/>
  <c r="H23" i="2"/>
  <c r="H24" i="2"/>
  <c r="H37" i="2"/>
  <c r="H38" i="2"/>
  <c r="H13" i="2"/>
  <c r="H27" i="2"/>
  <c r="H28" i="2"/>
  <c r="H41" i="2"/>
  <c r="H42" i="2"/>
  <c r="I47" i="2"/>
  <c r="I46" i="2"/>
  <c r="I49" i="2"/>
  <c r="I45" i="2"/>
  <c r="I48" i="2"/>
  <c r="C40" i="2"/>
  <c r="I59" i="2"/>
  <c r="C39" i="3"/>
  <c r="C40" i="3"/>
  <c r="B30" i="3"/>
  <c r="I52" i="2"/>
  <c r="C31" i="2"/>
  <c r="I55" i="2"/>
  <c r="I53" i="2"/>
  <c r="I56" i="2"/>
  <c r="I54" i="2"/>
  <c r="C38" i="3"/>
  <c r="C37" i="3"/>
  <c r="D30" i="3"/>
  <c r="C39" i="2"/>
  <c r="C36" i="2"/>
  <c r="P87" i="1"/>
  <c r="P73" i="1"/>
  <c r="P90" i="1"/>
  <c r="C65" i="1"/>
  <c r="P60" i="1"/>
  <c r="C22" i="1"/>
  <c r="C25" i="1"/>
  <c r="C14" i="1"/>
  <c r="C13" i="1"/>
  <c r="D17" i="1"/>
  <c r="C18" i="1"/>
  <c r="C28" i="1"/>
  <c r="C26" i="1"/>
  <c r="J14" i="1"/>
  <c r="J24" i="1"/>
  <c r="J12" i="1"/>
  <c r="J22" i="1"/>
  <c r="J13" i="1"/>
  <c r="J23" i="1"/>
  <c r="J15" i="1"/>
  <c r="J25" i="1"/>
  <c r="C41" i="2"/>
  <c r="E23" i="2"/>
  <c r="C32" i="2"/>
</calcChain>
</file>

<file path=xl/sharedStrings.xml><?xml version="1.0" encoding="utf-8"?>
<sst xmlns="http://schemas.openxmlformats.org/spreadsheetml/2006/main" count="521" uniqueCount="312">
  <si>
    <t>Property Address</t>
  </si>
  <si>
    <t>140 Wilderspool Causeway</t>
  </si>
  <si>
    <t xml:space="preserve">Refurb Total </t>
  </si>
  <si>
    <t>Strategy</t>
  </si>
  <si>
    <t>HMO</t>
  </si>
  <si>
    <t xml:space="preserve">ON Market </t>
  </si>
  <si>
    <t>CASH FLOW CALCULATIONS</t>
  </si>
  <si>
    <t>Pay Back Periods</t>
  </si>
  <si>
    <t>Money Left In</t>
  </si>
  <si>
    <t>ALL MONEY OUT PRICE</t>
  </si>
  <si>
    <t>12 months</t>
  </si>
  <si>
    <t>100% ROI</t>
  </si>
  <si>
    <t>DUV</t>
  </si>
  <si>
    <t>24 Months</t>
  </si>
  <si>
    <t>50% ROI</t>
  </si>
  <si>
    <t>30% deposit</t>
  </si>
  <si>
    <t>36 Months</t>
  </si>
  <si>
    <t>33% ROI</t>
  </si>
  <si>
    <t>70% Mortgage</t>
  </si>
  <si>
    <t>48 Months</t>
  </si>
  <si>
    <t>25% ROI</t>
  </si>
  <si>
    <t>60 Months</t>
  </si>
  <si>
    <t>20% ROI</t>
  </si>
  <si>
    <t>Mortage interest (%)</t>
  </si>
  <si>
    <t xml:space="preserve">Monthly Mortgage </t>
  </si>
  <si>
    <t>MAX OFFER PRICES</t>
  </si>
  <si>
    <t>OFFERS</t>
  </si>
  <si>
    <t>DATE</t>
  </si>
  <si>
    <t>NOTES</t>
  </si>
  <si>
    <t># of rooms</t>
  </si>
  <si>
    <t>Would accept £85k</t>
  </si>
  <si>
    <t>Room rate</t>
  </si>
  <si>
    <t>Rental Income Rooms</t>
  </si>
  <si>
    <t>MOE</t>
  </si>
  <si>
    <t>Management</t>
  </si>
  <si>
    <t>Check Comparables before you make an OFFER!</t>
  </si>
  <si>
    <t>Search same postcode, sold prices</t>
  </si>
  <si>
    <t>Cashflow</t>
  </si>
  <si>
    <t>Search same postcode, sold prices, quarter of a mile</t>
  </si>
  <si>
    <t>Search same postcode, for sale prices</t>
  </si>
  <si>
    <t>Search same postcode, for sale, quarter of a mile</t>
  </si>
  <si>
    <t>Total Additional Project Costs</t>
  </si>
  <si>
    <t>Utility Suppliers</t>
  </si>
  <si>
    <t>Date</t>
  </si>
  <si>
    <t>Ref</t>
  </si>
  <si>
    <t>Project details</t>
  </si>
  <si>
    <t>Company</t>
  </si>
  <si>
    <t>Cost</t>
  </si>
  <si>
    <t>BT</t>
  </si>
  <si>
    <t>Tel &amp; Broadband</t>
  </si>
  <si>
    <t>C001</t>
  </si>
  <si>
    <t>Building Survey</t>
  </si>
  <si>
    <t>Countrywide</t>
  </si>
  <si>
    <t>British Gas</t>
  </si>
  <si>
    <t>Gas &amp; Electricity</t>
  </si>
  <si>
    <t>C002</t>
  </si>
  <si>
    <t>Solicitor Fees</t>
  </si>
  <si>
    <t>Rowlinsons</t>
  </si>
  <si>
    <t>Water</t>
  </si>
  <si>
    <t>C003</t>
  </si>
  <si>
    <t>Planning application</t>
  </si>
  <si>
    <t>Rowley Szilagy</t>
  </si>
  <si>
    <t>C004</t>
  </si>
  <si>
    <t>Train 11-Jul</t>
  </si>
  <si>
    <t>Trainline</t>
  </si>
  <si>
    <t>C005</t>
  </si>
  <si>
    <t>Dispersements 11-Jul</t>
  </si>
  <si>
    <t>Food, Tube, Taxi</t>
  </si>
  <si>
    <t>C006</t>
  </si>
  <si>
    <t>Train 8-Aug</t>
  </si>
  <si>
    <t>C007</t>
  </si>
  <si>
    <t>Car Hire 8-Aug</t>
  </si>
  <si>
    <t>Green Motion</t>
  </si>
  <si>
    <t>C008</t>
  </si>
  <si>
    <t>Dispersements 8-Aug</t>
  </si>
  <si>
    <t>C009</t>
  </si>
  <si>
    <t>Locksmith</t>
  </si>
  <si>
    <t>Infinite Property</t>
  </si>
  <si>
    <t>C010</t>
  </si>
  <si>
    <t>Structural Engineer</t>
  </si>
  <si>
    <t>C011</t>
  </si>
  <si>
    <t>Building Reg Approval</t>
  </si>
  <si>
    <t>Sailus</t>
  </si>
  <si>
    <t>C012</t>
  </si>
  <si>
    <t>IP Cameras</t>
  </si>
  <si>
    <t>Network Cameras</t>
  </si>
  <si>
    <t>C013</t>
  </si>
  <si>
    <t>Builder - Hallway light sensor</t>
  </si>
  <si>
    <t>Frank</t>
  </si>
  <si>
    <t>TBC</t>
  </si>
  <si>
    <t>C014</t>
  </si>
  <si>
    <t>Elec/Gas cables/pipes into loft</t>
  </si>
  <si>
    <t>C015</t>
  </si>
  <si>
    <t>Furniture - 5x bedside cabinet</t>
  </si>
  <si>
    <t>Ikea</t>
  </si>
  <si>
    <t>C016</t>
  </si>
  <si>
    <t>Furniture - 5x wardrobes</t>
  </si>
  <si>
    <t>C017</t>
  </si>
  <si>
    <t>Furniture - 5x mattresses</t>
  </si>
  <si>
    <t>C018</t>
  </si>
  <si>
    <t>Furniture - 5x bed frames</t>
  </si>
  <si>
    <t>C019</t>
  </si>
  <si>
    <t>Furniture - Fridge/Freezer</t>
  </si>
  <si>
    <t>C020</t>
  </si>
  <si>
    <t>Furniture - Washing Machine</t>
  </si>
  <si>
    <t>C021</t>
  </si>
  <si>
    <t>C022</t>
  </si>
  <si>
    <t>10% Misc cost</t>
  </si>
  <si>
    <t>Boxing in, extra work, external works, making good garden @ front, painting outside</t>
  </si>
  <si>
    <t>10% Contingency</t>
  </si>
  <si>
    <t>Renovation costs (Shanroe Construction)</t>
  </si>
  <si>
    <t>Offer subject to building inspection</t>
  </si>
  <si>
    <t>Details</t>
  </si>
  <si>
    <t>Quantity</t>
  </si>
  <si>
    <t>Amount</t>
  </si>
  <si>
    <t>R001</t>
  </si>
  <si>
    <t>Full renovation</t>
  </si>
  <si>
    <t>R002</t>
  </si>
  <si>
    <t>VAT</t>
  </si>
  <si>
    <t>R003</t>
  </si>
  <si>
    <t>Cash</t>
  </si>
  <si>
    <t>R004</t>
  </si>
  <si>
    <t>Remove rear ground chimney</t>
  </si>
  <si>
    <t>R005</t>
  </si>
  <si>
    <t>Hallway light sensor</t>
  </si>
  <si>
    <t>R006</t>
  </si>
  <si>
    <t>R007</t>
  </si>
  <si>
    <t>R008</t>
  </si>
  <si>
    <t>Sub-Total</t>
  </si>
  <si>
    <t>Payment Schedule (Shanroe Construction)</t>
  </si>
  <si>
    <t>P001</t>
  </si>
  <si>
    <t>Virgin credit card (RB)</t>
  </si>
  <si>
    <t>Chestnut Building Supplies</t>
  </si>
  <si>
    <t>P002</t>
  </si>
  <si>
    <t>Murdocks Builders Merchants</t>
  </si>
  <si>
    <t>not paid</t>
  </si>
  <si>
    <t>P003</t>
  </si>
  <si>
    <t>P004</t>
  </si>
  <si>
    <t>Howdens Joinery Co</t>
  </si>
  <si>
    <t>P005</t>
  </si>
  <si>
    <t>P006</t>
  </si>
  <si>
    <t>P007</t>
  </si>
  <si>
    <t>P008</t>
  </si>
  <si>
    <t>P009</t>
  </si>
  <si>
    <t>Credit card interest</t>
  </si>
  <si>
    <t>Virgin: £25, Lloyds - £29)</t>
  </si>
  <si>
    <t>Outstanding owed</t>
  </si>
  <si>
    <t>Stamp Duty</t>
  </si>
  <si>
    <t>Other costs (auction fees, etc)</t>
  </si>
  <si>
    <t>Legals (buy, legal pack)</t>
  </si>
  <si>
    <t>Sales fees</t>
  </si>
  <si>
    <t>Surveys (Building, Structural)</t>
  </si>
  <si>
    <t>Refurb</t>
  </si>
  <si>
    <t>Legals (sell, legal pack)</t>
  </si>
  <si>
    <t>SDLT</t>
  </si>
  <si>
    <t>Cost Breakdown</t>
  </si>
  <si>
    <t>Valuation</t>
  </si>
  <si>
    <t>Legals (Buy)</t>
  </si>
  <si>
    <t>Legals (Re-finance)</t>
  </si>
  <si>
    <t>Broker Fee</t>
  </si>
  <si>
    <t>Insurance (12m)</t>
  </si>
  <si>
    <t>Any other fees</t>
  </si>
  <si>
    <t>Refurbishment costs</t>
  </si>
  <si>
    <t>Professional fees</t>
  </si>
  <si>
    <t>** Only enter data in the yellow cells</t>
  </si>
  <si>
    <t>Flip ROI:</t>
  </si>
  <si>
    <t>Flip Profit:</t>
  </si>
  <si>
    <t>ROI on Cash In Deal HMO:</t>
  </si>
  <si>
    <t>ROI on Cash In Deal Property:</t>
  </si>
  <si>
    <t>Annual Cashflow HMO:</t>
  </si>
  <si>
    <t>Normally same as purchase</t>
  </si>
  <si>
    <t>Legal Fee to sell</t>
  </si>
  <si>
    <t>Monthly Cashflow HMO:</t>
  </si>
  <si>
    <t>Normally 1-2%</t>
  </si>
  <si>
    <t>Agent Costs to sell</t>
  </si>
  <si>
    <t>Annual Cashflow Property:</t>
  </si>
  <si>
    <t>Realistic Sell Price if flipping:</t>
  </si>
  <si>
    <t>Monthly Cashflow Property:</t>
  </si>
  <si>
    <t>Cash Left In Deal:</t>
  </si>
  <si>
    <t>Monthly Mortgage Cost:</t>
  </si>
  <si>
    <t>Back in Bank</t>
  </si>
  <si>
    <t>Annual Mortgage Cost:</t>
  </si>
  <si>
    <t>Maximum Refinance:</t>
  </si>
  <si>
    <t>Max 9%</t>
  </si>
  <si>
    <t>Interest Rate:</t>
  </si>
  <si>
    <t>Refinance LTV:</t>
  </si>
  <si>
    <t>Estimated Value on Completion:</t>
  </si>
  <si>
    <t>Net HMO Rent Monthly:</t>
  </si>
  <si>
    <t>Net HMO Rent:</t>
  </si>
  <si>
    <t>Total</t>
  </si>
  <si>
    <t>Total Investment:</t>
  </si>
  <si>
    <t>Net Property Rent Monthly:</t>
  </si>
  <si>
    <t>Net Property Rent:</t>
  </si>
  <si>
    <t>Total Cost of Money:</t>
  </si>
  <si>
    <t>In/Out Fees</t>
  </si>
  <si>
    <t>Term (Months)</t>
  </si>
  <si>
    <t>Interest Rate</t>
  </si>
  <si>
    <t>Net Annual HMO Rent:</t>
  </si>
  <si>
    <t>Amount Borrowed</t>
  </si>
  <si>
    <t>Check Deal Sheet</t>
  </si>
  <si>
    <t>Deposit</t>
  </si>
  <si>
    <t>Cost of Money:</t>
  </si>
  <si>
    <t>Normally 10%</t>
  </si>
  <si>
    <t>Monthly MOE</t>
  </si>
  <si>
    <t>Total Acquistion Cost:</t>
  </si>
  <si>
    <t>Bills Allowance</t>
  </si>
  <si>
    <t>Sourcing Fee</t>
  </si>
  <si>
    <t>Any Other Fees</t>
  </si>
  <si>
    <t>Number of Rooms</t>
  </si>
  <si>
    <t>Allow £250</t>
  </si>
  <si>
    <t>Insurance (6 Months)</t>
  </si>
  <si>
    <t>Monthly - Convert weekly</t>
  </si>
  <si>
    <t>Room Rent</t>
  </si>
  <si>
    <t>Normally £500</t>
  </si>
  <si>
    <t>HMO:</t>
  </si>
  <si>
    <t>Legal Fee</t>
  </si>
  <si>
    <t>OR</t>
  </si>
  <si>
    <t>Allow £500</t>
  </si>
  <si>
    <t>Net Annual Property Rent:</t>
  </si>
  <si>
    <t>Calculated</t>
  </si>
  <si>
    <t>Stamp Duty:</t>
  </si>
  <si>
    <t>Acquisition Costs:</t>
  </si>
  <si>
    <t>Architect/Engineer</t>
  </si>
  <si>
    <t>Professional Fees:</t>
  </si>
  <si>
    <t>Monthly Property Rent</t>
  </si>
  <si>
    <t>Refurbishment</t>
  </si>
  <si>
    <t>Works Budget:</t>
  </si>
  <si>
    <t>Rents:</t>
  </si>
  <si>
    <t>Purchase Price:</t>
  </si>
  <si>
    <t>Cash required for acquisition:</t>
  </si>
  <si>
    <t>Property Address in full</t>
  </si>
  <si>
    <t>Deal Address:</t>
  </si>
  <si>
    <t>Allow £750</t>
  </si>
  <si>
    <t>Weekly Room Rate</t>
  </si>
  <si>
    <t>Typically 10%+VAT (will vary on area)</t>
  </si>
  <si>
    <t>Allow 10%</t>
  </si>
  <si>
    <t>Check gov.uk</t>
  </si>
  <si>
    <t>All Money Out Price</t>
  </si>
  <si>
    <t>Max Offer Price</t>
  </si>
  <si>
    <t>Alternative Exits</t>
  </si>
  <si>
    <t>Primary Exit Strategy</t>
  </si>
  <si>
    <t>BTL</t>
  </si>
  <si>
    <t>Rental Income</t>
  </si>
  <si>
    <t>Rental Income (BTL)</t>
  </si>
  <si>
    <t>Rental Income (HMO)</t>
  </si>
  <si>
    <t>Mortgage</t>
  </si>
  <si>
    <t>Alternative Exit: Flip (numbers)</t>
  </si>
  <si>
    <t xml:space="preserve">Re-Finance </t>
  </si>
  <si>
    <t>Last update:</t>
  </si>
  <si>
    <t>Cash required for Acquisition:</t>
  </si>
  <si>
    <t>Room Rent (monthly)</t>
  </si>
  <si>
    <t>This provides an overview of rental income (HMO or BTL)</t>
  </si>
  <si>
    <t>This provides an overview of re-financing the property with lending in place (after purchase &amp; refurb)</t>
  </si>
  <si>
    <t>&lt;-- Insert property address in full here --&gt;</t>
  </si>
  <si>
    <t>v1.0</t>
  </si>
  <si>
    <t>&lt;&lt;-- INSERT INFORMATION IN YELLOW CELLS ONLY --&gt;</t>
  </si>
  <si>
    <t>Term</t>
  </si>
  <si>
    <t>Meaning</t>
  </si>
  <si>
    <t>The purchase price of the property</t>
  </si>
  <si>
    <t>Total cost of renovation / refurbishment</t>
  </si>
  <si>
    <t>This would typically include any professional fees such as architect fees, planning application fees, building control, surveys, etc.</t>
  </si>
  <si>
    <t>This would typically refer to all costs relating to the acquisition of an asset (or associated purchase costs), such as legals, valuation, surveys, etc.</t>
  </si>
  <si>
    <t>This refers to Stamp Duty Land Tax which is applicable to all property purchases within the UK.</t>
  </si>
  <si>
    <t>References</t>
  </si>
  <si>
    <t>www.gov.uk</t>
  </si>
  <si>
    <t>This refers to the valuation costs (typically done by the Lender)</t>
  </si>
  <si>
    <t>This refers to the hmo: costs (typically done by the Lender)</t>
  </si>
  <si>
    <t>This refers to the management costs (typically done by the Lender)</t>
  </si>
  <si>
    <t>This refers to the btl costs (typically done by the Lender)</t>
  </si>
  <si>
    <t>This refers to the mortgage costs (typically done by the Lender)</t>
  </si>
  <si>
    <t>This refers to the cashflow costs (typically done by the Lender)</t>
  </si>
  <si>
    <t>This refers to the hmo costs (typically done by the Lender)</t>
  </si>
  <si>
    <t>This refers to your legal fees to puchase the property</t>
  </si>
  <si>
    <t>This refers to your broker fees to puchase the property</t>
  </si>
  <si>
    <t>This refers to your alternative exitss to puchase the property</t>
  </si>
  <si>
    <t>This refers to your flip profit:s to puchase the property</t>
  </si>
  <si>
    <t>This refers to your flip roi:s to puchase the property</t>
  </si>
  <si>
    <t>This refers to your rental incomes to puchase the property</t>
  </si>
  <si>
    <t>This refers to your bills allowances to puchase the property</t>
  </si>
  <si>
    <t>This refers to your monthly moes to puchase the property</t>
  </si>
  <si>
    <t>This refers to your interest rate:s to puchase the property</t>
  </si>
  <si>
    <t>This refers to building insurance which is typically the Lenders requirement at point of Exchange.</t>
  </si>
  <si>
    <t>This refers to building alternative exit: flip which is typically the Lenders requirement at point of Exchange.</t>
  </si>
  <si>
    <t>This refers to building room rent which is typically the Lenders requirement at point of Exchange.</t>
  </si>
  <si>
    <t>This refers to building rental income which is typically the Lenders requirement at point of Exchange.</t>
  </si>
  <si>
    <t>Any other abnormal costs should be captured here</t>
  </si>
  <si>
    <t>Primary exit abnormal costs should be captured here</t>
  </si>
  <si>
    <t>ROI deal abnormal costs should be captured here</t>
  </si>
  <si>
    <t>Realistic if abnormal costs should be captured here</t>
  </si>
  <si>
    <t>Weekly room abnormal costs should be captured here</t>
  </si>
  <si>
    <t>Net hmo abnormal costs should be captured here</t>
  </si>
  <si>
    <t>Monthly property abnormal costs should be captured here</t>
  </si>
  <si>
    <t>Net property abnormal costs should be captured here</t>
  </si>
  <si>
    <t>Net rent abnormal costs should be captured here</t>
  </si>
  <si>
    <t>Annual mortgage abnormal costs should be captured here</t>
  </si>
  <si>
    <t>Monthly mortgage abnormal costs should be captured here</t>
  </si>
  <si>
    <t>Monthly cashflow abnormal costs should be captured here</t>
  </si>
  <si>
    <t>Annual cashflow abnormal costs should be captured here</t>
  </si>
  <si>
    <t>Pay back abnormal costs should be captured here</t>
  </si>
  <si>
    <t>Max offer abnormal costs should be captured here</t>
  </si>
  <si>
    <t>All out abnormal costs should be captured here</t>
  </si>
  <si>
    <t>This refers to any borrowing costs related to the purchase of the property (ie. Investor lending costs, bridging finance costs, etc)</t>
  </si>
  <si>
    <t>This refers to your amount borrowed to puchase the property (ie. If the property cost £100k and you borrowed £75k to purchase, you should insert £75k here)</t>
  </si>
  <si>
    <t>This refers to your interest rate charged to puchase the property (ie. to borrow £75k at 5% interest per annum, insert 5% here)</t>
  </si>
  <si>
    <t>This refers to the term (months) of the lending (ie. £75k over a 12 month period, insert 12 months here)</t>
  </si>
  <si>
    <t>Typically applicable to bridging finance, there is normally an entry and exit fee for the lending facility (ie. 1% on entry (taking out the loan and 1% exit (when you pay the total capital back).</t>
  </si>
  <si>
    <t>This refers to the backend (or re-financing of your asset) once renovation works have been completed. This section refers to what your longer term lending costs will be</t>
  </si>
  <si>
    <t>This refers to your total expenditure to purchase, renovate and all associated acquisition fees paid for this property.</t>
  </si>
  <si>
    <t>This is sometimes referred to Gross Domestic Value / End Value / Done up Value, refers to end value once all works have been completed</t>
  </si>
  <si>
    <t>This refers to total Loan to Value (LTV). So if your property is worth £200k once all the renovation works are complete and your Lender is offering you 75% LTV, it means they will lend you 75% of the re-finance value (in this example, £200k equating to £150k, so LTV is 75% in this example). Some Lenders may lend 70% LTV or 65% LTV, so insert this figure here.</t>
  </si>
  <si>
    <t>This refers to the actual financial figure inserted in the 'refinance LTV' above</t>
  </si>
  <si>
    <t>This shows how much money you have left in the deal after re-finance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</si>
</sst>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164" formatCode="&quot;£&quot;#,##0.00;[Red]&quot;£&quot;#,##0.00"/>
    <numFmt numFmtId="165" formatCode="0.0"/>
    <numFmt numFmtId="166" formatCode="&quot;£&quot;#,##0.00"/>
    <numFmt numFmtId="167" formatCode="&quot;£&quot;#,##0.0"/>
    <numFmt numFmtId="168" formatCode="&quot;£&quot;#,##0"/>
    <numFmt numFmtId="169" formatCode="0.0%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19">
    <xf numFmtId="0" fontId="0" fillId="0" borderId="0" xfId="0"/>
    <xf numFmtId="14" fontId="0" fillId="0" borderId="0" xfId="0" applyNumberFormat="1"/>
    <xf numFmtId="6" fontId="0" fillId="2" borderId="0" xfId="0" applyNumberFormat="1" applyFill="1"/>
    <xf numFmtId="0" fontId="2" fillId="0" borderId="0" xfId="0" applyFont="1"/>
    <xf numFmtId="3" fontId="0" fillId="3" borderId="0" xfId="0" applyNumberFormat="1" applyFill="1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" fontId="0" fillId="0" borderId="0" xfId="0" applyNumberFormat="1"/>
    <xf numFmtId="6" fontId="0" fillId="0" borderId="0" xfId="0" applyNumberFormat="1"/>
    <xf numFmtId="3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4" fontId="0" fillId="0" borderId="4" xfId="0" applyNumberFormat="1" applyBorder="1"/>
    <xf numFmtId="164" fontId="0" fillId="0" borderId="5" xfId="0" applyNumberFormat="1" applyBorder="1"/>
    <xf numFmtId="1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4" fontId="3" fillId="0" borderId="9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164" fontId="0" fillId="0" borderId="3" xfId="0" applyNumberFormat="1" applyBorder="1"/>
    <xf numFmtId="6" fontId="4" fillId="0" borderId="0" xfId="0" applyNumberFormat="1" applyFont="1"/>
    <xf numFmtId="0" fontId="4" fillId="0" borderId="0" xfId="0" applyFont="1"/>
    <xf numFmtId="6" fontId="4" fillId="0" borderId="12" xfId="0" applyNumberFormat="1" applyFont="1" applyBorder="1"/>
    <xf numFmtId="166" fontId="0" fillId="3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3" borderId="0" xfId="0" applyNumberFormat="1" applyFill="1"/>
    <xf numFmtId="168" fontId="0" fillId="0" borderId="0" xfId="0" applyNumberFormat="1"/>
    <xf numFmtId="168" fontId="0" fillId="2" borderId="0" xfId="0" applyNumberFormat="1" applyFill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7" fillId="4" borderId="0" xfId="0" applyNumberFormat="1" applyFont="1" applyFill="1"/>
    <xf numFmtId="168" fontId="7" fillId="4" borderId="0" xfId="0" applyNumberFormat="1" applyFont="1" applyFill="1"/>
    <xf numFmtId="166" fontId="6" fillId="0" borderId="0" xfId="0" applyNumberFormat="1" applyFont="1"/>
    <xf numFmtId="6" fontId="6" fillId="3" borderId="0" xfId="0" applyNumberFormat="1" applyFont="1" applyFill="1"/>
    <xf numFmtId="0" fontId="8" fillId="0" borderId="0" xfId="0" applyFont="1"/>
    <xf numFmtId="166" fontId="6" fillId="3" borderId="0" xfId="0" applyNumberFormat="1" applyFont="1" applyFill="1"/>
    <xf numFmtId="168" fontId="9" fillId="3" borderId="0" xfId="0" applyNumberFormat="1" applyFont="1" applyFill="1"/>
    <xf numFmtId="168" fontId="6" fillId="0" borderId="0" xfId="0" applyNumberFormat="1" applyFont="1"/>
    <xf numFmtId="168" fontId="9" fillId="0" borderId="0" xfId="0" applyNumberFormat="1" applyFont="1"/>
    <xf numFmtId="0" fontId="9" fillId="0" borderId="0" xfId="0" applyFont="1"/>
    <xf numFmtId="10" fontId="6" fillId="3" borderId="0" xfId="0" applyNumberFormat="1" applyFont="1" applyFill="1"/>
    <xf numFmtId="9" fontId="6" fillId="3" borderId="0" xfId="0" applyNumberFormat="1" applyFont="1" applyFill="1"/>
    <xf numFmtId="168" fontId="6" fillId="3" borderId="0" xfId="0" applyNumberFormat="1" applyFont="1" applyFill="1"/>
    <xf numFmtId="168" fontId="9" fillId="4" borderId="0" xfId="0" applyNumberFormat="1" applyFont="1" applyFill="1"/>
    <xf numFmtId="0" fontId="9" fillId="4" borderId="0" xfId="0" applyFont="1" applyFill="1"/>
    <xf numFmtId="6" fontId="0" fillId="3" borderId="0" xfId="0" applyNumberFormat="1" applyFill="1"/>
    <xf numFmtId="0" fontId="7" fillId="0" borderId="0" xfId="0" applyFont="1"/>
    <xf numFmtId="0" fontId="6" fillId="0" borderId="0" xfId="0" applyFont="1" applyAlignment="1">
      <alignment horizontal="right" wrapText="1"/>
    </xf>
    <xf numFmtId="168" fontId="6" fillId="0" borderId="2" xfId="0" applyNumberFormat="1" applyFont="1" applyBorder="1"/>
    <xf numFmtId="168" fontId="0" fillId="0" borderId="5" xfId="0" applyNumberFormat="1" applyFill="1" applyBorder="1"/>
    <xf numFmtId="168" fontId="0" fillId="3" borderId="5" xfId="0" applyNumberFormat="1" applyFill="1" applyBorder="1"/>
    <xf numFmtId="3" fontId="0" fillId="3" borderId="5" xfId="0" applyNumberFormat="1" applyFill="1" applyBorder="1"/>
    <xf numFmtId="168" fontId="6" fillId="0" borderId="3" xfId="0" applyNumberFormat="1" applyFont="1" applyBorder="1"/>
    <xf numFmtId="168" fontId="0" fillId="3" borderId="14" xfId="0" applyNumberFormat="1" applyFill="1" applyBorder="1"/>
    <xf numFmtId="168" fontId="0" fillId="0" borderId="5" xfId="0" applyNumberFormat="1" applyBorder="1"/>
    <xf numFmtId="168" fontId="0" fillId="3" borderId="0" xfId="0" applyNumberFormat="1" applyFill="1" applyBorder="1"/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6" fillId="5" borderId="2" xfId="0" applyFont="1" applyFill="1" applyBorder="1" applyAlignment="1">
      <alignment horizontal="left" wrapText="1"/>
    </xf>
    <xf numFmtId="166" fontId="6" fillId="0" borderId="0" xfId="0" applyNumberFormat="1" applyFont="1" applyBorder="1"/>
    <xf numFmtId="166" fontId="6" fillId="0" borderId="10" xfId="0" applyNumberFormat="1" applyFont="1" applyBorder="1"/>
    <xf numFmtId="9" fontId="6" fillId="3" borderId="0" xfId="0" applyNumberFormat="1" applyFont="1" applyFill="1" applyBorder="1"/>
    <xf numFmtId="3" fontId="0" fillId="3" borderId="0" xfId="0" applyNumberFormat="1" applyFill="1" applyBorder="1"/>
    <xf numFmtId="6" fontId="0" fillId="3" borderId="0" xfId="0" applyNumberFormat="1" applyFill="1" applyBorder="1"/>
    <xf numFmtId="0" fontId="0" fillId="0" borderId="13" xfId="0" applyBorder="1"/>
    <xf numFmtId="0" fontId="0" fillId="0" borderId="0" xfId="0" applyFont="1"/>
    <xf numFmtId="0" fontId="5" fillId="0" borderId="0" xfId="0" applyFont="1" applyFill="1" applyBorder="1"/>
    <xf numFmtId="0" fontId="0" fillId="0" borderId="0" xfId="0" applyFill="1" applyBorder="1"/>
    <xf numFmtId="168" fontId="6" fillId="0" borderId="0" xfId="0" applyNumberFormat="1" applyFont="1" applyFill="1" applyBorder="1"/>
    <xf numFmtId="168" fontId="0" fillId="3" borderId="0" xfId="0" applyNumberFormat="1" applyFont="1" applyFill="1" applyBorder="1"/>
    <xf numFmtId="9" fontId="0" fillId="3" borderId="0" xfId="0" applyNumberFormat="1" applyFont="1" applyFill="1" applyBorder="1"/>
    <xf numFmtId="168" fontId="0" fillId="0" borderId="0" xfId="0" applyNumberFormat="1" applyFont="1" applyBorder="1"/>
    <xf numFmtId="10" fontId="0" fillId="3" borderId="0" xfId="0" applyNumberFormat="1" applyFont="1" applyFill="1" applyBorder="1"/>
    <xf numFmtId="168" fontId="0" fillId="0" borderId="10" xfId="0" applyNumberFormat="1" applyFont="1" applyBorder="1"/>
    <xf numFmtId="15" fontId="1" fillId="3" borderId="3" xfId="0" applyNumberFormat="1" applyFont="1" applyFill="1" applyBorder="1" applyAlignment="1">
      <alignment vertical="center"/>
    </xf>
    <xf numFmtId="0" fontId="6" fillId="0" borderId="13" xfId="0" applyFont="1" applyBorder="1"/>
    <xf numFmtId="0" fontId="0" fillId="0" borderId="10" xfId="0" applyFill="1" applyBorder="1"/>
    <xf numFmtId="168" fontId="0" fillId="0" borderId="0" xfId="0" applyNumberFormat="1" applyFont="1" applyFill="1" applyBorder="1"/>
    <xf numFmtId="0" fontId="0" fillId="0" borderId="21" xfId="0" applyBorder="1"/>
    <xf numFmtId="168" fontId="0" fillId="0" borderId="22" xfId="0" applyNumberFormat="1" applyBorder="1"/>
    <xf numFmtId="0" fontId="6" fillId="0" borderId="19" xfId="0" applyFont="1" applyBorder="1"/>
    <xf numFmtId="0" fontId="0" fillId="0" borderId="23" xfId="0" applyBorder="1"/>
    <xf numFmtId="0" fontId="0" fillId="0" borderId="25" xfId="0" applyBorder="1"/>
    <xf numFmtId="168" fontId="0" fillId="0" borderId="26" xfId="0" applyNumberFormat="1" applyBorder="1"/>
    <xf numFmtId="0" fontId="6" fillId="0" borderId="27" xfId="0" applyFont="1" applyBorder="1"/>
    <xf numFmtId="168" fontId="6" fillId="0" borderId="28" xfId="0" applyNumberFormat="1" applyFont="1" applyBorder="1"/>
    <xf numFmtId="168" fontId="0" fillId="0" borderId="29" xfId="0" applyNumberFormat="1" applyBorder="1"/>
    <xf numFmtId="0" fontId="4" fillId="0" borderId="21" xfId="0" applyFont="1" applyBorder="1"/>
    <xf numFmtId="0" fontId="6" fillId="5" borderId="16" xfId="0" applyFont="1" applyFill="1" applyBorder="1"/>
    <xf numFmtId="0" fontId="6" fillId="0" borderId="21" xfId="0" applyFont="1" applyBorder="1"/>
    <xf numFmtId="0" fontId="6" fillId="0" borderId="22" xfId="0" applyFont="1" applyBorder="1"/>
    <xf numFmtId="0" fontId="0" fillId="0" borderId="24" xfId="0" applyBorder="1"/>
    <xf numFmtId="0" fontId="0" fillId="0" borderId="21" xfId="0" applyFont="1" applyBorder="1"/>
    <xf numFmtId="0" fontId="0" fillId="0" borderId="32" xfId="0" applyFont="1" applyBorder="1" applyAlignment="1">
      <alignment horizontal="left" vertical="center"/>
    </xf>
    <xf numFmtId="168" fontId="0" fillId="0" borderId="33" xfId="0" applyNumberFormat="1" applyFont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21" xfId="0" applyFont="1" applyFill="1" applyBorder="1" applyAlignment="1"/>
    <xf numFmtId="0" fontId="0" fillId="0" borderId="24" xfId="0" applyFill="1" applyBorder="1"/>
    <xf numFmtId="0" fontId="0" fillId="0" borderId="35" xfId="0" applyFont="1" applyFill="1" applyBorder="1" applyAlignment="1"/>
    <xf numFmtId="0" fontId="0" fillId="0" borderId="36" xfId="0" applyFill="1" applyBorder="1"/>
    <xf numFmtId="0" fontId="5" fillId="0" borderId="21" xfId="0" applyFont="1" applyBorder="1"/>
    <xf numFmtId="0" fontId="11" fillId="0" borderId="21" xfId="0" applyFont="1" applyBorder="1"/>
    <xf numFmtId="0" fontId="11" fillId="0" borderId="32" xfId="0" applyFont="1" applyBorder="1"/>
    <xf numFmtId="6" fontId="0" fillId="3" borderId="33" xfId="0" applyNumberFormat="1" applyFont="1" applyFill="1" applyBorder="1"/>
    <xf numFmtId="0" fontId="0" fillId="0" borderId="37" xfId="0" applyBorder="1"/>
    <xf numFmtId="0" fontId="0" fillId="0" borderId="24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32" xfId="0" applyFont="1" applyBorder="1"/>
    <xf numFmtId="168" fontId="0" fillId="0" borderId="33" xfId="0" applyNumberFormat="1" applyFont="1" applyBorder="1"/>
    <xf numFmtId="0" fontId="0" fillId="0" borderId="34" xfId="0" applyFont="1" applyBorder="1"/>
    <xf numFmtId="168" fontId="0" fillId="0" borderId="24" xfId="0" applyNumberFormat="1" applyFont="1" applyBorder="1"/>
    <xf numFmtId="0" fontId="6" fillId="0" borderId="35" xfId="0" applyFont="1" applyBorder="1"/>
    <xf numFmtId="0" fontId="0" fillId="0" borderId="36" xfId="0" applyBorder="1"/>
    <xf numFmtId="0" fontId="6" fillId="0" borderId="32" xfId="0" applyFont="1" applyBorder="1"/>
    <xf numFmtId="0" fontId="0" fillId="5" borderId="38" xfId="0" applyFill="1" applyBorder="1"/>
    <xf numFmtId="0" fontId="6" fillId="5" borderId="18" xfId="0" applyFont="1" applyFill="1" applyBorder="1"/>
    <xf numFmtId="168" fontId="0" fillId="0" borderId="24" xfId="0" applyNumberFormat="1" applyFill="1" applyBorder="1"/>
    <xf numFmtId="0" fontId="0" fillId="0" borderId="35" xfId="0" applyBorder="1"/>
    <xf numFmtId="168" fontId="0" fillId="0" borderId="36" xfId="0" applyNumberFormat="1" applyFill="1" applyBorder="1"/>
    <xf numFmtId="0" fontId="6" fillId="5" borderId="19" xfId="0" applyFont="1" applyFill="1" applyBorder="1" applyAlignment="1">
      <alignment horizontal="left" wrapText="1"/>
    </xf>
    <xf numFmtId="0" fontId="6" fillId="5" borderId="20" xfId="0" applyFont="1" applyFill="1" applyBorder="1" applyAlignment="1">
      <alignment horizontal="left" wrapText="1"/>
    </xf>
    <xf numFmtId="0" fontId="0" fillId="0" borderId="27" xfId="0" applyBorder="1"/>
    <xf numFmtId="0" fontId="0" fillId="0" borderId="31" xfId="0" applyBorder="1"/>
    <xf numFmtId="0" fontId="6" fillId="0" borderId="40" xfId="0" applyFont="1" applyBorder="1"/>
    <xf numFmtId="168" fontId="0" fillId="3" borderId="41" xfId="0" applyNumberFormat="1" applyFont="1" applyFill="1" applyBorder="1"/>
    <xf numFmtId="0" fontId="0" fillId="0" borderId="42" xfId="0" applyBorder="1"/>
    <xf numFmtId="0" fontId="0" fillId="0" borderId="43" xfId="0" applyBorder="1"/>
    <xf numFmtId="168" fontId="0" fillId="3" borderId="33" xfId="0" applyNumberFormat="1" applyFont="1" applyFill="1" applyBorder="1"/>
    <xf numFmtId="168" fontId="0" fillId="0" borderId="44" xfId="0" applyNumberFormat="1" applyBorder="1"/>
    <xf numFmtId="168" fontId="6" fillId="0" borderId="23" xfId="0" applyNumberFormat="1" applyFont="1" applyBorder="1"/>
    <xf numFmtId="0" fontId="6" fillId="2" borderId="21" xfId="0" applyFont="1" applyFill="1" applyBorder="1"/>
    <xf numFmtId="166" fontId="6" fillId="2" borderId="0" xfId="0" applyNumberFormat="1" applyFont="1" applyFill="1" applyBorder="1"/>
    <xf numFmtId="0" fontId="0" fillId="2" borderId="24" xfId="0" applyFill="1" applyBorder="1"/>
    <xf numFmtId="0" fontId="7" fillId="2" borderId="35" xfId="0" applyFont="1" applyFill="1" applyBorder="1" applyAlignment="1"/>
    <xf numFmtId="10" fontId="7" fillId="2" borderId="10" xfId="0" applyNumberFormat="1" applyFont="1" applyFill="1" applyBorder="1"/>
    <xf numFmtId="10" fontId="7" fillId="2" borderId="2" xfId="0" applyNumberFormat="1" applyFont="1" applyFill="1" applyBorder="1"/>
    <xf numFmtId="10" fontId="7" fillId="2" borderId="20" xfId="0" applyNumberFormat="1" applyFont="1" applyFill="1" applyBorder="1"/>
    <xf numFmtId="0" fontId="0" fillId="2" borderId="21" xfId="0" applyFont="1" applyFill="1" applyBorder="1"/>
    <xf numFmtId="168" fontId="0" fillId="2" borderId="0" xfId="0" applyNumberFormat="1" applyFont="1" applyFill="1" applyBorder="1"/>
    <xf numFmtId="168" fontId="6" fillId="0" borderId="33" xfId="0" applyNumberFormat="1" applyFont="1" applyBorder="1"/>
    <xf numFmtId="0" fontId="6" fillId="5" borderId="15" xfId="0" applyFont="1" applyFill="1" applyBorder="1" applyAlignment="1">
      <alignment horizontal="right" vertical="center" wrapText="1"/>
    </xf>
    <xf numFmtId="9" fontId="0" fillId="0" borderId="10" xfId="0" applyNumberFormat="1" applyFont="1" applyFill="1" applyBorder="1"/>
    <xf numFmtId="169" fontId="0" fillId="0" borderId="0" xfId="0" applyNumberFormat="1" applyFont="1" applyFill="1" applyBorder="1"/>
    <xf numFmtId="0" fontId="0" fillId="0" borderId="14" xfId="0" applyBorder="1"/>
    <xf numFmtId="0" fontId="12" fillId="0" borderId="0" xfId="0" applyFont="1"/>
    <xf numFmtId="0" fontId="12" fillId="0" borderId="0" xfId="0" applyFont="1" applyBorder="1"/>
    <xf numFmtId="0" fontId="14" fillId="0" borderId="0" xfId="0" applyFont="1" applyBorder="1"/>
    <xf numFmtId="0" fontId="13" fillId="0" borderId="0" xfId="1"/>
    <xf numFmtId="0" fontId="12" fillId="3" borderId="0" xfId="0" applyFont="1" applyFill="1"/>
    <xf numFmtId="0" fontId="6" fillId="0" borderId="10" xfId="0" applyFont="1" applyBorder="1"/>
    <xf numFmtId="0" fontId="0" fillId="0" borderId="10" xfId="0" applyFont="1" applyBorder="1"/>
    <xf numFmtId="0" fontId="12" fillId="0" borderId="0" xfId="0" applyFont="1" applyFill="1"/>
    <xf numFmtId="14" fontId="3" fillId="0" borderId="1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5" borderId="19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20" xfId="0" applyFont="1" applyFill="1" applyBorder="1" applyAlignment="1">
      <alignment horizontal="left" wrapText="1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left" wrapText="1"/>
    </xf>
    <xf numFmtId="0" fontId="0" fillId="6" borderId="2" xfId="0" applyFont="1" applyFill="1" applyBorder="1" applyAlignment="1">
      <alignment horizontal="left" wrapText="1"/>
    </xf>
    <xf numFmtId="0" fontId="0" fillId="6" borderId="2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wrapText="1"/>
    </xf>
    <xf numFmtId="0" fontId="4" fillId="6" borderId="20" xfId="0" applyFont="1" applyFill="1" applyBorder="1" applyAlignment="1">
      <alignment horizontal="left" wrapText="1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8" borderId="31" xfId="0" applyFill="1" applyBorder="1"/>
    <xf numFmtId="0" fontId="16" fillId="8" borderId="1" xfId="0" applyFont="1" applyFill="1" applyBorder="1" applyAlignment="1">
      <alignment vertical="center"/>
    </xf>
    <xf numFmtId="0" fontId="16" fillId="8" borderId="2" xfId="0" applyFont="1" applyFill="1" applyBorder="1" applyAlignment="1">
      <alignment vertical="center"/>
    </xf>
    <xf numFmtId="0" fontId="17" fillId="8" borderId="16" xfId="0" applyFont="1" applyFill="1" applyBorder="1" applyAlignment="1">
      <alignment horizontal="left" wrapText="1"/>
    </xf>
    <xf numFmtId="0" fontId="17" fillId="8" borderId="17" xfId="0" applyFont="1" applyFill="1" applyBorder="1" applyAlignment="1">
      <alignment horizontal="left" wrapText="1"/>
    </xf>
    <xf numFmtId="0" fontId="17" fillId="8" borderId="30" xfId="0" applyFont="1" applyFill="1" applyBorder="1" applyAlignment="1">
      <alignment wrapText="1"/>
    </xf>
    <xf numFmtId="0" fontId="17" fillId="8" borderId="16" xfId="0" applyFont="1" applyFill="1" applyBorder="1"/>
    <xf numFmtId="168" fontId="17" fillId="8" borderId="30" xfId="0" applyNumberFormat="1" applyFont="1" applyFill="1" applyBorder="1"/>
    <xf numFmtId="0" fontId="17" fillId="8" borderId="17" xfId="0" applyFont="1" applyFill="1" applyBorder="1"/>
    <xf numFmtId="168" fontId="17" fillId="8" borderId="29" xfId="0" applyNumberFormat="1" applyFont="1" applyFill="1" applyBorder="1"/>
    <xf numFmtId="0" fontId="17" fillId="8" borderId="31" xfId="0" applyFont="1" applyFill="1" applyBorder="1"/>
    <xf numFmtId="0" fontId="16" fillId="8" borderId="27" xfId="0" applyFont="1" applyFill="1" applyBorder="1"/>
    <xf numFmtId="0" fontId="17" fillId="8" borderId="27" xfId="0" applyFont="1" applyFill="1" applyBorder="1"/>
    <xf numFmtId="168" fontId="17" fillId="8" borderId="31" xfId="0" applyNumberFormat="1" applyFont="1" applyFill="1" applyBorder="1"/>
    <xf numFmtId="0" fontId="18" fillId="8" borderId="31" xfId="0" applyFont="1" applyFill="1" applyBorder="1"/>
    <xf numFmtId="0" fontId="18" fillId="8" borderId="29" xfId="0" applyFont="1" applyFill="1" applyBorder="1"/>
    <xf numFmtId="0" fontId="17" fillId="8" borderId="19" xfId="0" applyFont="1" applyFill="1" applyBorder="1" applyAlignment="1">
      <alignment horizontal="left" wrapText="1"/>
    </xf>
    <xf numFmtId="0" fontId="17" fillId="8" borderId="2" xfId="0" applyFont="1" applyFill="1" applyBorder="1" applyAlignment="1">
      <alignment horizontal="left" wrapText="1"/>
    </xf>
    <xf numFmtId="0" fontId="17" fillId="8" borderId="20" xfId="0" applyFont="1" applyFill="1" applyBorder="1" applyAlignment="1">
      <alignment horizontal="left" wrapText="1"/>
    </xf>
    <xf numFmtId="0" fontId="17" fillId="8" borderId="18" xfId="0" applyFont="1" applyFill="1" applyBorder="1" applyAlignment="1">
      <alignment horizontal="left" wrapText="1"/>
    </xf>
    <xf numFmtId="168" fontId="0" fillId="8" borderId="17" xfId="0" applyNumberFormat="1" applyFill="1" applyBorder="1"/>
    <xf numFmtId="0" fontId="17" fillId="8" borderId="19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7" fillId="8" borderId="2" xfId="0" applyFont="1" applyFill="1" applyBorder="1" applyAlignment="1">
      <alignment wrapText="1"/>
    </xf>
    <xf numFmtId="0" fontId="18" fillId="8" borderId="20" xfId="0" applyFont="1" applyFill="1" applyBorder="1"/>
    <xf numFmtId="0" fontId="17" fillId="8" borderId="20" xfId="0" applyFont="1" applyFill="1" applyBorder="1" applyAlignment="1">
      <alignment wrapText="1"/>
    </xf>
    <xf numFmtId="0" fontId="15" fillId="8" borderId="2" xfId="0" applyFont="1" applyFill="1" applyBorder="1" applyAlignment="1">
      <alignment horizontal="right" vertical="center"/>
    </xf>
    <xf numFmtId="3" fontId="0" fillId="0" borderId="39" xfId="0" applyNumberForma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1765810</xdr:colOff>
      <xdr:row>0</xdr:row>
      <xdr:rowOff>218897</xdr:rowOff>
    </xdr:from>
    <xdr:to>
      <xdr:col>8</xdr:col>
      <xdr:colOff>926725</xdr:colOff>
      <xdr:row>2</xdr:row>
      <xdr:rowOff>677333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CECCC-FD31-4C1E-AC81-27EB3728E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75" b="25010"/>
        <a:stretch/>
      </xdr:blipFill>
      <xdr:spPr>
        <a:xfrm>
          <a:off x="8507393" y="218897"/>
          <a:ext cx="1891415" cy="987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v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329-625E-4B57-A33F-250636D52075}">
  <dimension ref="A3:Q90"/>
  <sheetViews>
    <sheetView zoomScale="90" zoomScaleNormal="90" workbookViewId="0">
      <selection activeCell="J21" sqref="J21"/>
    </sheetView>
  </sheetViews>
  <sheetFormatPr defaultColWidth="11" defaultRowHeight="15.75"/>
  <cols>
    <col min="2" max="2" width="22.375" bestFit="1" customWidth="1"/>
    <col min="3" max="3" width="11.875" bestFit="1" customWidth="1"/>
    <col min="5" max="5" width="13.625" bestFit="1" customWidth="1"/>
    <col min="12" max="12" width="11" style="1"/>
    <col min="14" max="14" width="24.875" bestFit="1" customWidth="1"/>
    <col min="15" max="15" width="16.875" bestFit="1" customWidth="1"/>
    <col min="16" max="16" width="11" style="6"/>
  </cols>
  <sheetData>
    <row r="3" spans="2:13">
      <c r="B3" t="s">
        <v>0</v>
      </c>
      <c r="D3" t="s">
        <v>1</v>
      </c>
      <c r="H3" t="s">
        <v>2</v>
      </c>
      <c r="I3" s="36">
        <v>39000</v>
      </c>
    </row>
    <row r="4" spans="2:13">
      <c r="B4" t="s">
        <v>3</v>
      </c>
      <c r="D4" t="s">
        <v>4</v>
      </c>
    </row>
    <row r="5" spans="2:13">
      <c r="B5" t="s">
        <v>5</v>
      </c>
      <c r="D5" s="2">
        <v>95000</v>
      </c>
    </row>
    <row r="9" spans="2:13">
      <c r="B9" s="3" t="s">
        <v>6</v>
      </c>
      <c r="G9" s="3" t="s">
        <v>7</v>
      </c>
      <c r="J9" t="s">
        <v>8</v>
      </c>
      <c r="M9" s="3" t="s">
        <v>9</v>
      </c>
    </row>
    <row r="11" spans="2:13">
      <c r="G11" t="s">
        <v>10</v>
      </c>
      <c r="H11" t="s">
        <v>11</v>
      </c>
      <c r="J11" s="34">
        <f>C28*12</f>
        <v>9938.9499999999971</v>
      </c>
      <c r="M11" s="4">
        <f>C14-I3</f>
        <v>55500</v>
      </c>
    </row>
    <row r="12" spans="2:13">
      <c r="B12" t="s">
        <v>12</v>
      </c>
      <c r="C12" s="36">
        <v>135000</v>
      </c>
      <c r="G12" t="s">
        <v>13</v>
      </c>
      <c r="H12" t="s">
        <v>14</v>
      </c>
      <c r="J12" s="34">
        <f>C28*24</f>
        <v>19877.899999999994</v>
      </c>
    </row>
    <row r="13" spans="2:13">
      <c r="B13" t="s">
        <v>15</v>
      </c>
      <c r="C13" s="34">
        <f>C12*0.3</f>
        <v>40500</v>
      </c>
      <c r="G13" t="s">
        <v>16</v>
      </c>
      <c r="H13" t="s">
        <v>17</v>
      </c>
      <c r="J13" s="34">
        <f>C28*36</f>
        <v>29816.849999999991</v>
      </c>
    </row>
    <row r="14" spans="2:13">
      <c r="B14" t="s">
        <v>18</v>
      </c>
      <c r="C14" s="34">
        <f>C12*0.7</f>
        <v>94500</v>
      </c>
      <c r="G14" t="s">
        <v>19</v>
      </c>
      <c r="H14" t="s">
        <v>20</v>
      </c>
      <c r="J14" s="34">
        <f>C28*48</f>
        <v>39755.799999999988</v>
      </c>
    </row>
    <row r="15" spans="2:13">
      <c r="G15" t="s">
        <v>21</v>
      </c>
      <c r="H15" t="s">
        <v>22</v>
      </c>
      <c r="J15" s="34">
        <f>C28*60</f>
        <v>49694.749999999985</v>
      </c>
    </row>
    <row r="16" spans="2:13">
      <c r="J16" s="35"/>
    </row>
    <row r="17" spans="2:15">
      <c r="B17" t="s">
        <v>23</v>
      </c>
      <c r="C17" s="5">
        <v>4.8899999999999997</v>
      </c>
      <c r="D17" s="35">
        <f>C14*(C17/100)</f>
        <v>4621.05</v>
      </c>
      <c r="J17" s="35"/>
    </row>
    <row r="18" spans="2:15">
      <c r="B18" t="s">
        <v>24</v>
      </c>
      <c r="C18" s="7">
        <f>D17/12</f>
        <v>385.08750000000003</v>
      </c>
      <c r="J18" s="35"/>
    </row>
    <row r="19" spans="2:15">
      <c r="G19" s="3" t="s">
        <v>25</v>
      </c>
      <c r="J19" s="35"/>
      <c r="M19" s="3" t="s">
        <v>26</v>
      </c>
      <c r="N19" s="3" t="s">
        <v>27</v>
      </c>
      <c r="O19" s="3" t="s">
        <v>28</v>
      </c>
    </row>
    <row r="20" spans="2:15">
      <c r="B20" t="s">
        <v>29</v>
      </c>
      <c r="C20" s="5">
        <v>5</v>
      </c>
      <c r="J20" s="35"/>
      <c r="M20">
        <v>85000</v>
      </c>
      <c r="N20" s="8">
        <v>41779</v>
      </c>
      <c r="O20" t="s">
        <v>30</v>
      </c>
    </row>
    <row r="21" spans="2:15">
      <c r="B21" t="s">
        <v>31</v>
      </c>
      <c r="C21" s="36">
        <v>80</v>
      </c>
      <c r="G21" t="s">
        <v>10</v>
      </c>
      <c r="H21" t="s">
        <v>11</v>
      </c>
      <c r="J21" s="34">
        <f>M11+J11</f>
        <v>65438.95</v>
      </c>
      <c r="M21" s="9"/>
      <c r="N21" s="1"/>
    </row>
    <row r="22" spans="2:15">
      <c r="B22" t="s">
        <v>32</v>
      </c>
      <c r="C22" s="36">
        <f>(C20*C21*52)/12</f>
        <v>1733.3333333333333</v>
      </c>
      <c r="G22" t="s">
        <v>13</v>
      </c>
      <c r="H22" t="s">
        <v>14</v>
      </c>
      <c r="J22" s="34">
        <f>M11+J12</f>
        <v>75377.899999999994</v>
      </c>
      <c r="N22" s="1"/>
    </row>
    <row r="23" spans="2:15">
      <c r="C23" s="7"/>
      <c r="G23" t="s">
        <v>16</v>
      </c>
      <c r="H23" t="s">
        <v>17</v>
      </c>
      <c r="J23" s="34">
        <f>M11+J13</f>
        <v>85316.849999999991</v>
      </c>
      <c r="M23" s="10"/>
      <c r="N23" s="1"/>
    </row>
    <row r="24" spans="2:15">
      <c r="C24" s="7"/>
      <c r="G24" t="s">
        <v>19</v>
      </c>
      <c r="H24" t="s">
        <v>20</v>
      </c>
      <c r="J24" s="34">
        <f>M11+J14</f>
        <v>95255.799999999988</v>
      </c>
    </row>
    <row r="25" spans="2:15">
      <c r="B25" t="s">
        <v>33</v>
      </c>
      <c r="C25" s="34">
        <f>C22*0.2</f>
        <v>346.66666666666669</v>
      </c>
      <c r="G25" t="s">
        <v>21</v>
      </c>
      <c r="H25" t="s">
        <v>22</v>
      </c>
      <c r="J25" s="34">
        <f>M11+J15</f>
        <v>105194.74999999999</v>
      </c>
    </row>
    <row r="26" spans="2:15">
      <c r="B26" t="s">
        <v>34</v>
      </c>
      <c r="C26" s="34">
        <f>C22*0.1</f>
        <v>173.33333333333334</v>
      </c>
      <c r="M26" s="11" t="s">
        <v>35</v>
      </c>
    </row>
    <row r="27" spans="2:15">
      <c r="C27" s="7"/>
      <c r="M27" t="s">
        <v>36</v>
      </c>
    </row>
    <row r="28" spans="2:15">
      <c r="B28" t="s">
        <v>37</v>
      </c>
      <c r="C28" s="34">
        <f>C22-C18-C25-C26</f>
        <v>828.24583333333305</v>
      </c>
      <c r="M28" t="s">
        <v>38</v>
      </c>
    </row>
    <row r="29" spans="2:15">
      <c r="G29" s="3" t="s">
        <v>155</v>
      </c>
      <c r="M29" t="s">
        <v>39</v>
      </c>
    </row>
    <row r="30" spans="2:15">
      <c r="H30" t="s">
        <v>162</v>
      </c>
      <c r="M30" t="s">
        <v>40</v>
      </c>
    </row>
    <row r="31" spans="2:15">
      <c r="H31" t="s">
        <v>147</v>
      </c>
    </row>
    <row r="32" spans="2:15">
      <c r="H32" t="s">
        <v>156</v>
      </c>
    </row>
    <row r="33" spans="1:16">
      <c r="H33" t="s">
        <v>157</v>
      </c>
    </row>
    <row r="34" spans="1:16">
      <c r="H34" t="s">
        <v>158</v>
      </c>
    </row>
    <row r="35" spans="1:16">
      <c r="H35" t="s">
        <v>159</v>
      </c>
    </row>
    <row r="36" spans="1:16">
      <c r="A36" s="11"/>
      <c r="C36" s="6"/>
      <c r="H36" t="s">
        <v>160</v>
      </c>
      <c r="L36" s="165" t="s">
        <v>41</v>
      </c>
      <c r="M36" s="166"/>
      <c r="N36" s="166"/>
      <c r="O36" s="166"/>
      <c r="P36" s="167"/>
    </row>
    <row r="37" spans="1:16">
      <c r="C37" t="s">
        <v>42</v>
      </c>
      <c r="H37" t="s">
        <v>163</v>
      </c>
      <c r="L37" s="12" t="s">
        <v>43</v>
      </c>
      <c r="M37" s="13" t="s">
        <v>44</v>
      </c>
      <c r="N37" s="13" t="s">
        <v>45</v>
      </c>
      <c r="O37" s="14" t="s">
        <v>46</v>
      </c>
      <c r="P37" s="15" t="s">
        <v>47</v>
      </c>
    </row>
    <row r="38" spans="1:16">
      <c r="C38" t="s">
        <v>48</v>
      </c>
      <c r="D38" t="s">
        <v>49</v>
      </c>
      <c r="H38" t="s">
        <v>161</v>
      </c>
      <c r="L38" s="16">
        <v>41791</v>
      </c>
      <c r="M38" t="s">
        <v>50</v>
      </c>
      <c r="N38" t="s">
        <v>51</v>
      </c>
      <c r="O38" t="s">
        <v>52</v>
      </c>
      <c r="P38" s="17">
        <v>800</v>
      </c>
    </row>
    <row r="39" spans="1:16">
      <c r="C39" t="s">
        <v>53</v>
      </c>
      <c r="D39" t="s">
        <v>54</v>
      </c>
      <c r="L39" s="16">
        <v>41821</v>
      </c>
      <c r="M39" t="s">
        <v>55</v>
      </c>
      <c r="N39" t="s">
        <v>56</v>
      </c>
      <c r="O39" t="s">
        <v>57</v>
      </c>
      <c r="P39" s="17">
        <v>868</v>
      </c>
    </row>
    <row r="40" spans="1:16">
      <c r="C40" t="s">
        <v>58</v>
      </c>
      <c r="L40" s="16">
        <v>41821</v>
      </c>
      <c r="M40" t="s">
        <v>59</v>
      </c>
      <c r="N40" t="s">
        <v>60</v>
      </c>
      <c r="O40" s="6" t="s">
        <v>61</v>
      </c>
      <c r="P40" s="17">
        <v>1200</v>
      </c>
    </row>
    <row r="41" spans="1:16">
      <c r="L41" s="16">
        <v>41831</v>
      </c>
      <c r="M41" t="s">
        <v>62</v>
      </c>
      <c r="N41" t="s">
        <v>63</v>
      </c>
      <c r="O41" s="6" t="s">
        <v>64</v>
      </c>
      <c r="P41" s="17">
        <v>78.39</v>
      </c>
    </row>
    <row r="42" spans="1:16">
      <c r="G42" s="28">
        <v>5000</v>
      </c>
      <c r="H42" s="29" t="s">
        <v>148</v>
      </c>
      <c r="L42" s="16">
        <v>41831</v>
      </c>
      <c r="M42" t="s">
        <v>65</v>
      </c>
      <c r="N42" t="s">
        <v>66</v>
      </c>
      <c r="O42" t="s">
        <v>67</v>
      </c>
      <c r="P42" s="17">
        <v>30</v>
      </c>
    </row>
    <row r="43" spans="1:16">
      <c r="G43" s="28">
        <v>1000</v>
      </c>
      <c r="H43" s="29" t="s">
        <v>149</v>
      </c>
      <c r="L43" s="16">
        <v>41859</v>
      </c>
      <c r="M43" t="s">
        <v>68</v>
      </c>
      <c r="N43" t="s">
        <v>69</v>
      </c>
      <c r="O43" s="6" t="s">
        <v>64</v>
      </c>
      <c r="P43" s="17">
        <v>108</v>
      </c>
    </row>
    <row r="44" spans="1:16">
      <c r="G44" s="28">
        <v>2000</v>
      </c>
      <c r="H44" s="29" t="s">
        <v>150</v>
      </c>
      <c r="L44" s="16">
        <v>41859</v>
      </c>
      <c r="M44" t="s">
        <v>70</v>
      </c>
      <c r="N44" t="s">
        <v>71</v>
      </c>
      <c r="O44" s="6" t="s">
        <v>72</v>
      </c>
      <c r="P44" s="17">
        <v>25</v>
      </c>
    </row>
    <row r="45" spans="1:16">
      <c r="C45" s="6"/>
      <c r="G45" s="28">
        <v>500</v>
      </c>
      <c r="H45" s="29" t="s">
        <v>151</v>
      </c>
      <c r="L45" s="16">
        <v>41859</v>
      </c>
      <c r="M45" t="s">
        <v>73</v>
      </c>
      <c r="N45" t="s">
        <v>74</v>
      </c>
      <c r="O45" t="s">
        <v>67</v>
      </c>
      <c r="P45" s="17">
        <v>75</v>
      </c>
    </row>
    <row r="46" spans="1:16">
      <c r="C46" s="6"/>
      <c r="G46" s="28">
        <v>40000</v>
      </c>
      <c r="H46" s="29" t="s">
        <v>152</v>
      </c>
      <c r="L46" s="16">
        <v>41859</v>
      </c>
      <c r="M46" t="s">
        <v>75</v>
      </c>
      <c r="N46" t="s">
        <v>76</v>
      </c>
      <c r="O46" s="6" t="s">
        <v>77</v>
      </c>
      <c r="P46" s="17">
        <v>70</v>
      </c>
    </row>
    <row r="47" spans="1:16">
      <c r="C47" s="6"/>
      <c r="G47" s="28">
        <v>1000</v>
      </c>
      <c r="H47" s="29" t="s">
        <v>153</v>
      </c>
      <c r="L47" s="16">
        <v>41892</v>
      </c>
      <c r="M47" t="s">
        <v>78</v>
      </c>
      <c r="N47" t="s">
        <v>79</v>
      </c>
      <c r="P47" s="17">
        <v>144</v>
      </c>
    </row>
    <row r="48" spans="1:16">
      <c r="C48" s="6"/>
      <c r="G48" s="9">
        <v>2100</v>
      </c>
      <c r="H48" s="29" t="s">
        <v>154</v>
      </c>
      <c r="L48" s="16">
        <v>41892</v>
      </c>
      <c r="M48" t="s">
        <v>80</v>
      </c>
      <c r="N48" t="s">
        <v>81</v>
      </c>
      <c r="O48" s="6" t="s">
        <v>82</v>
      </c>
      <c r="P48" s="17">
        <v>700</v>
      </c>
    </row>
    <row r="49" spans="1:16">
      <c r="C49" s="6"/>
      <c r="G49" s="30">
        <f>SUM(G42:G48)</f>
        <v>51600</v>
      </c>
      <c r="L49" s="16">
        <v>41913</v>
      </c>
      <c r="M49" t="s">
        <v>83</v>
      </c>
      <c r="N49" t="s">
        <v>84</v>
      </c>
      <c r="O49" t="s">
        <v>85</v>
      </c>
      <c r="P49" s="17">
        <v>500</v>
      </c>
    </row>
    <row r="50" spans="1:16">
      <c r="C50" s="6"/>
      <c r="L50" s="16">
        <v>41913</v>
      </c>
      <c r="M50" t="s">
        <v>86</v>
      </c>
      <c r="N50" t="s">
        <v>87</v>
      </c>
      <c r="O50" s="6" t="s">
        <v>88</v>
      </c>
      <c r="P50" s="17">
        <v>180</v>
      </c>
    </row>
    <row r="51" spans="1:16">
      <c r="C51" s="6"/>
      <c r="L51" s="16" t="s">
        <v>89</v>
      </c>
      <c r="M51" t="s">
        <v>90</v>
      </c>
      <c r="N51" t="s">
        <v>91</v>
      </c>
      <c r="O51" s="6" t="s">
        <v>88</v>
      </c>
      <c r="P51" s="17">
        <v>200</v>
      </c>
    </row>
    <row r="52" spans="1:16">
      <c r="C52" s="6"/>
      <c r="L52" s="16"/>
      <c r="M52" t="s">
        <v>92</v>
      </c>
      <c r="N52" t="s">
        <v>93</v>
      </c>
      <c r="O52" t="s">
        <v>94</v>
      </c>
      <c r="P52" s="17">
        <v>180</v>
      </c>
    </row>
    <row r="53" spans="1:16">
      <c r="C53" s="6"/>
      <c r="L53" s="16"/>
      <c r="M53" t="s">
        <v>95</v>
      </c>
      <c r="N53" t="s">
        <v>96</v>
      </c>
      <c r="O53" t="s">
        <v>94</v>
      </c>
      <c r="P53" s="17">
        <v>300</v>
      </c>
    </row>
    <row r="54" spans="1:16">
      <c r="C54" s="6"/>
      <c r="L54" s="16"/>
      <c r="M54" t="s">
        <v>97</v>
      </c>
      <c r="N54" t="s">
        <v>98</v>
      </c>
      <c r="O54" t="s">
        <v>89</v>
      </c>
      <c r="P54" s="17">
        <v>800</v>
      </c>
    </row>
    <row r="55" spans="1:16">
      <c r="C55" s="6"/>
      <c r="L55" s="16"/>
      <c r="M55" t="s">
        <v>99</v>
      </c>
      <c r="N55" t="s">
        <v>100</v>
      </c>
      <c r="O55" t="s">
        <v>89</v>
      </c>
      <c r="P55" s="17">
        <v>500</v>
      </c>
    </row>
    <row r="56" spans="1:16">
      <c r="C56" s="6"/>
      <c r="D56" s="6"/>
      <c r="L56" s="16"/>
      <c r="M56" t="s">
        <v>101</v>
      </c>
      <c r="N56" t="s">
        <v>102</v>
      </c>
      <c r="O56" t="s">
        <v>89</v>
      </c>
      <c r="P56" s="17">
        <v>200</v>
      </c>
    </row>
    <row r="57" spans="1:16">
      <c r="C57" s="6"/>
      <c r="L57" s="16"/>
      <c r="M57" t="s">
        <v>103</v>
      </c>
      <c r="N57" t="s">
        <v>104</v>
      </c>
      <c r="O57" t="s">
        <v>89</v>
      </c>
      <c r="P57" s="17">
        <v>200</v>
      </c>
    </row>
    <row r="58" spans="1:16">
      <c r="C58" s="6"/>
      <c r="L58" s="16"/>
      <c r="M58" t="s">
        <v>105</v>
      </c>
      <c r="P58" s="17"/>
    </row>
    <row r="59" spans="1:16">
      <c r="C59" s="6"/>
      <c r="L59" s="16"/>
      <c r="M59" t="s">
        <v>106</v>
      </c>
      <c r="P59" s="17"/>
    </row>
    <row r="60" spans="1:16" ht="16.5" thickBot="1">
      <c r="A60" t="s">
        <v>107</v>
      </c>
      <c r="C60" s="6"/>
      <c r="D60" t="s">
        <v>108</v>
      </c>
      <c r="L60" s="18"/>
      <c r="M60" s="19"/>
      <c r="N60" s="19"/>
      <c r="O60" s="19"/>
      <c r="P60" s="20">
        <f>SUM(P38:P59)</f>
        <v>7158.3899999999994</v>
      </c>
    </row>
    <row r="61" spans="1:16" ht="16.5" thickTop="1">
      <c r="A61" t="s">
        <v>109</v>
      </c>
      <c r="C61" s="6"/>
    </row>
    <row r="62" spans="1:16">
      <c r="C62" s="6"/>
      <c r="L62" s="168" t="s">
        <v>110</v>
      </c>
      <c r="M62" s="169"/>
      <c r="N62" s="169"/>
      <c r="O62" s="169"/>
      <c r="P62" s="170"/>
    </row>
    <row r="63" spans="1:16">
      <c r="C63" s="6"/>
      <c r="D63" t="s">
        <v>111</v>
      </c>
      <c r="L63" s="12" t="s">
        <v>43</v>
      </c>
      <c r="M63" s="13" t="s">
        <v>44</v>
      </c>
      <c r="N63" s="13" t="s">
        <v>112</v>
      </c>
      <c r="O63" s="13" t="s">
        <v>113</v>
      </c>
      <c r="P63" s="15" t="s">
        <v>114</v>
      </c>
    </row>
    <row r="64" spans="1:16">
      <c r="C64" s="6"/>
      <c r="L64" s="16"/>
      <c r="M64" t="s">
        <v>115</v>
      </c>
      <c r="N64" t="s">
        <v>116</v>
      </c>
      <c r="O64">
        <v>1</v>
      </c>
      <c r="P64" s="17">
        <v>10000</v>
      </c>
    </row>
    <row r="65" spans="3:17">
      <c r="C65" s="6">
        <f>SUM(C40:C64)</f>
        <v>0</v>
      </c>
      <c r="L65" s="16"/>
      <c r="M65" t="s">
        <v>117</v>
      </c>
      <c r="N65" t="s">
        <v>118</v>
      </c>
      <c r="O65">
        <v>1</v>
      </c>
      <c r="P65" s="17">
        <v>2000</v>
      </c>
    </row>
    <row r="66" spans="3:17">
      <c r="L66" s="16"/>
      <c r="M66" t="s">
        <v>119</v>
      </c>
      <c r="N66" t="s">
        <v>120</v>
      </c>
      <c r="O66">
        <v>1</v>
      </c>
      <c r="P66" s="17">
        <v>19000</v>
      </c>
    </row>
    <row r="67" spans="3:17">
      <c r="L67" s="16"/>
      <c r="M67" t="s">
        <v>121</v>
      </c>
      <c r="N67" t="s">
        <v>122</v>
      </c>
      <c r="O67">
        <v>1</v>
      </c>
      <c r="P67" s="17">
        <v>675</v>
      </c>
    </row>
    <row r="68" spans="3:17">
      <c r="L68" s="16">
        <v>41913</v>
      </c>
      <c r="M68" t="s">
        <v>123</v>
      </c>
      <c r="N68" t="s">
        <v>124</v>
      </c>
      <c r="O68">
        <v>1</v>
      </c>
      <c r="P68" s="17">
        <v>180</v>
      </c>
    </row>
    <row r="69" spans="3:17">
      <c r="L69" s="16"/>
      <c r="M69" t="s">
        <v>125</v>
      </c>
      <c r="N69" t="s">
        <v>91</v>
      </c>
      <c r="O69">
        <v>1</v>
      </c>
      <c r="P69" s="17">
        <v>200</v>
      </c>
    </row>
    <row r="70" spans="3:17">
      <c r="L70" s="16"/>
      <c r="M70" t="s">
        <v>126</v>
      </c>
      <c r="P70" s="17"/>
    </row>
    <row r="71" spans="3:17">
      <c r="L71" s="16"/>
      <c r="M71" t="s">
        <v>127</v>
      </c>
      <c r="P71" s="17"/>
    </row>
    <row r="72" spans="3:17">
      <c r="L72" s="16"/>
      <c r="P72" s="17"/>
    </row>
    <row r="73" spans="3:17" ht="16.5" thickBot="1">
      <c r="L73" s="18"/>
      <c r="M73" s="19"/>
      <c r="N73" s="19"/>
      <c r="O73" s="19" t="s">
        <v>128</v>
      </c>
      <c r="P73" s="20">
        <f>SUM(P64:P68)</f>
        <v>31855</v>
      </c>
    </row>
    <row r="74" spans="3:17" ht="16.5" thickTop="1"/>
    <row r="76" spans="3:17">
      <c r="L76" s="168" t="s">
        <v>129</v>
      </c>
      <c r="M76" s="169"/>
      <c r="N76" s="169"/>
      <c r="O76" s="169"/>
      <c r="P76" s="170"/>
    </row>
    <row r="77" spans="3:17">
      <c r="L77" s="21" t="s">
        <v>43</v>
      </c>
      <c r="M77" s="22" t="s">
        <v>44</v>
      </c>
      <c r="N77" s="22" t="s">
        <v>112</v>
      </c>
      <c r="O77" s="22" t="s">
        <v>46</v>
      </c>
      <c r="P77" s="23" t="s">
        <v>114</v>
      </c>
    </row>
    <row r="78" spans="3:17">
      <c r="L78" s="16">
        <v>41953</v>
      </c>
      <c r="M78" t="s">
        <v>130</v>
      </c>
      <c r="N78" t="s">
        <v>131</v>
      </c>
      <c r="O78" t="s">
        <v>132</v>
      </c>
      <c r="P78" s="17">
        <v>7201.99</v>
      </c>
    </row>
    <row r="79" spans="3:17">
      <c r="L79" s="16"/>
      <c r="M79" t="s">
        <v>133</v>
      </c>
      <c r="O79" t="s">
        <v>134</v>
      </c>
      <c r="P79" s="17">
        <v>2433.9</v>
      </c>
      <c r="Q79" t="s">
        <v>135</v>
      </c>
    </row>
    <row r="80" spans="3:17">
      <c r="L80" s="16"/>
      <c r="M80" t="s">
        <v>136</v>
      </c>
      <c r="O80" t="s">
        <v>132</v>
      </c>
      <c r="P80" s="17">
        <v>2420.62</v>
      </c>
      <c r="Q80" t="s">
        <v>135</v>
      </c>
    </row>
    <row r="81" spans="12:17">
      <c r="L81" s="16"/>
      <c r="M81" t="s">
        <v>137</v>
      </c>
      <c r="O81" t="s">
        <v>138</v>
      </c>
      <c r="P81" s="17">
        <v>2000</v>
      </c>
      <c r="Q81" t="s">
        <v>135</v>
      </c>
    </row>
    <row r="82" spans="12:17">
      <c r="L82" s="16"/>
      <c r="M82" t="s">
        <v>139</v>
      </c>
      <c r="P82" s="17"/>
    </row>
    <row r="83" spans="12:17">
      <c r="L83" s="16"/>
      <c r="M83" t="s">
        <v>140</v>
      </c>
      <c r="P83" s="17"/>
    </row>
    <row r="84" spans="12:17">
      <c r="L84" s="16"/>
      <c r="M84" t="s">
        <v>141</v>
      </c>
      <c r="P84" s="17"/>
    </row>
    <row r="85" spans="12:17">
      <c r="L85" s="16"/>
      <c r="M85" t="s">
        <v>142</v>
      </c>
      <c r="P85" s="17"/>
    </row>
    <row r="86" spans="12:17">
      <c r="L86" s="16"/>
      <c r="M86" t="s">
        <v>143</v>
      </c>
      <c r="N86" t="s">
        <v>144</v>
      </c>
      <c r="O86" t="s">
        <v>145</v>
      </c>
      <c r="P86" s="17">
        <v>54</v>
      </c>
    </row>
    <row r="87" spans="12:17" ht="16.5" thickBot="1">
      <c r="L87" s="18"/>
      <c r="M87" s="19"/>
      <c r="N87" s="19"/>
      <c r="O87" s="19" t="s">
        <v>128</v>
      </c>
      <c r="P87" s="20">
        <f>SUM(P78:P82)</f>
        <v>14056.509999999998</v>
      </c>
    </row>
    <row r="88" spans="12:17" ht="16.5" thickTop="1"/>
    <row r="90" spans="12:17">
      <c r="L90" s="24"/>
      <c r="M90" s="25"/>
      <c r="N90" s="25"/>
      <c r="O90" s="26" t="s">
        <v>146</v>
      </c>
      <c r="P90" s="27">
        <f>SUM(P73-P87)</f>
        <v>17798.490000000002</v>
      </c>
    </row>
  </sheetData>
  <mergeCells count="3">
    <mergeCell ref="L36:P36"/>
    <mergeCell ref="L62:P62"/>
    <mergeCell ref="L76:P76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ECF6-FDD8-47B5-842F-947275B4CFFA}">
  <sheetPr>
    <pageSetUpPr fitToPage="1"/>
  </sheetPr>
  <dimension ref="B1:K92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8" sqref="I58"/>
    </sheetView>
  </sheetViews>
  <sheetFormatPr defaultColWidth="11" defaultRowHeight="21"/>
  <cols>
    <col min="1" max="1" width="3.875" customWidth="1"/>
    <col min="2" max="2" width="31.75" style="37" bestFit="1" customWidth="1"/>
    <col min="3" max="3" width="9.375" bestFit="1" customWidth="1"/>
    <col min="4" max="4" width="23.625" bestFit="1" customWidth="1"/>
    <col min="5" max="5" width="15.75" bestFit="1" customWidth="1"/>
    <col min="6" max="6" width="4" customWidth="1"/>
    <col min="7" max="7" width="25.5" bestFit="1" customWidth="1"/>
    <col min="8" max="8" width="10.25" bestFit="1" customWidth="1"/>
    <col min="9" max="9" width="31.875" bestFit="1" customWidth="1"/>
    <col min="10" max="12" width="11" customWidth="1"/>
    <col min="13" max="13" width="14.875" customWidth="1"/>
  </cols>
  <sheetData>
    <row r="1" spans="2:11">
      <c r="B1" s="192" t="s">
        <v>231</v>
      </c>
      <c r="C1" s="177" t="s">
        <v>253</v>
      </c>
      <c r="D1" s="178"/>
      <c r="E1" s="178"/>
      <c r="F1" s="193"/>
      <c r="G1" s="217" t="s">
        <v>254</v>
      </c>
      <c r="H1" s="217" t="s">
        <v>248</v>
      </c>
      <c r="I1" s="85">
        <v>44326</v>
      </c>
    </row>
    <row r="2" spans="2:11">
      <c r="E2" s="57"/>
    </row>
    <row r="3" spans="2:11" ht="54" customHeight="1" thickBot="1">
      <c r="B3" s="179" t="s">
        <v>255</v>
      </c>
      <c r="C3" s="179"/>
      <c r="D3" s="180"/>
      <c r="E3" s="153" t="s">
        <v>249</v>
      </c>
    </row>
    <row r="4" spans="2:11" ht="15.75">
      <c r="B4" s="136" t="s">
        <v>228</v>
      </c>
      <c r="C4" s="137">
        <v>85000</v>
      </c>
      <c r="D4" s="138"/>
      <c r="E4" s="139"/>
      <c r="G4" s="194" t="s">
        <v>242</v>
      </c>
      <c r="H4" s="195"/>
      <c r="I4" s="210"/>
    </row>
    <row r="5" spans="2:11" ht="15.75">
      <c r="B5" s="100" t="s">
        <v>226</v>
      </c>
      <c r="C5" s="80">
        <v>35000</v>
      </c>
      <c r="D5" s="66" t="s">
        <v>225</v>
      </c>
      <c r="E5" s="90">
        <f>C5</f>
        <v>35000</v>
      </c>
      <c r="G5" s="181" t="s">
        <v>251</v>
      </c>
      <c r="H5" s="182"/>
      <c r="I5" s="183"/>
    </row>
    <row r="6" spans="2:11" ht="16.5" thickBot="1">
      <c r="B6" s="126" t="s">
        <v>223</v>
      </c>
      <c r="C6" s="140">
        <v>2000</v>
      </c>
      <c r="D6" s="116" t="s">
        <v>222</v>
      </c>
      <c r="E6" s="141">
        <f>C6</f>
        <v>2000</v>
      </c>
      <c r="G6" s="207" t="s">
        <v>214</v>
      </c>
      <c r="H6" s="208"/>
      <c r="I6" s="209"/>
    </row>
    <row r="7" spans="2:11" ht="16.5" thickBot="1">
      <c r="B7"/>
      <c r="E7" s="75"/>
      <c r="G7" s="89" t="s">
        <v>250</v>
      </c>
      <c r="H7" s="59">
        <f>SUM(H8*H9)*(48/12)/H9</f>
        <v>320</v>
      </c>
      <c r="I7" s="90"/>
    </row>
    <row r="8" spans="2:11" ht="15.75">
      <c r="B8" s="194" t="s">
        <v>221</v>
      </c>
      <c r="C8" s="195"/>
      <c r="D8" s="195"/>
      <c r="E8" s="196"/>
      <c r="G8" s="89" t="s">
        <v>233</v>
      </c>
      <c r="H8" s="60">
        <v>80</v>
      </c>
      <c r="I8" s="90"/>
    </row>
    <row r="9" spans="2:11" ht="15.75">
      <c r="B9" s="98" t="s">
        <v>220</v>
      </c>
      <c r="C9" s="65">
        <v>0</v>
      </c>
      <c r="D9" s="67" t="s">
        <v>236</v>
      </c>
      <c r="E9" s="90">
        <f t="shared" ref="E9:E14" si="0">C9</f>
        <v>0</v>
      </c>
      <c r="G9" s="89" t="s">
        <v>208</v>
      </c>
      <c r="H9" s="61">
        <v>5</v>
      </c>
      <c r="I9" s="90"/>
    </row>
    <row r="10" spans="2:11" ht="15.75">
      <c r="B10" s="89" t="s">
        <v>156</v>
      </c>
      <c r="C10" s="65">
        <v>500</v>
      </c>
      <c r="D10" s="67" t="s">
        <v>217</v>
      </c>
      <c r="E10" s="90">
        <f t="shared" si="0"/>
        <v>500</v>
      </c>
      <c r="G10" s="89" t="s">
        <v>205</v>
      </c>
      <c r="H10" s="60">
        <f>H7*H9*0.1</f>
        <v>160</v>
      </c>
      <c r="I10" s="90" t="s">
        <v>235</v>
      </c>
    </row>
    <row r="11" spans="2:11" ht="15.75">
      <c r="B11" s="89" t="s">
        <v>215</v>
      </c>
      <c r="C11" s="65">
        <v>500</v>
      </c>
      <c r="D11" s="67" t="s">
        <v>232</v>
      </c>
      <c r="E11" s="90">
        <f t="shared" si="0"/>
        <v>500</v>
      </c>
      <c r="G11" s="89" t="s">
        <v>203</v>
      </c>
      <c r="H11" s="60">
        <f>H7*H9*0.1</f>
        <v>160</v>
      </c>
      <c r="I11" s="90" t="s">
        <v>202</v>
      </c>
    </row>
    <row r="12" spans="2:11" ht="15.75">
      <c r="B12" s="89" t="s">
        <v>159</v>
      </c>
      <c r="C12" s="65">
        <v>500</v>
      </c>
      <c r="D12" s="67" t="s">
        <v>217</v>
      </c>
      <c r="E12" s="90">
        <f t="shared" si="0"/>
        <v>500</v>
      </c>
      <c r="G12" s="89" t="s">
        <v>34</v>
      </c>
      <c r="H12" s="60">
        <f>H7*H9*0.12</f>
        <v>192</v>
      </c>
      <c r="I12" s="90" t="s">
        <v>234</v>
      </c>
    </row>
    <row r="13" spans="2:11" ht="15.75">
      <c r="B13" s="89" t="s">
        <v>210</v>
      </c>
      <c r="C13" s="65">
        <v>250</v>
      </c>
      <c r="D13" s="67" t="s">
        <v>209</v>
      </c>
      <c r="E13" s="90">
        <f t="shared" si="0"/>
        <v>250</v>
      </c>
      <c r="G13" s="91" t="s">
        <v>197</v>
      </c>
      <c r="H13" s="62">
        <f>H7*12*H9-H10*12-H11*12-H12*12</f>
        <v>13056</v>
      </c>
      <c r="I13" s="92"/>
    </row>
    <row r="14" spans="2:11" ht="15.75">
      <c r="B14" s="89" t="s">
        <v>207</v>
      </c>
      <c r="C14" s="65">
        <v>0</v>
      </c>
      <c r="D14" s="67" t="s">
        <v>206</v>
      </c>
      <c r="E14" s="90">
        <f t="shared" si="0"/>
        <v>0</v>
      </c>
      <c r="G14" s="174" t="s">
        <v>216</v>
      </c>
      <c r="H14" s="175"/>
      <c r="I14" s="176"/>
      <c r="K14" s="33"/>
    </row>
    <row r="15" spans="2:11" ht="16.5" thickBot="1">
      <c r="B15" s="203" t="s">
        <v>204</v>
      </c>
      <c r="C15" s="204">
        <f>SUM(C9:C14)</f>
        <v>1750</v>
      </c>
      <c r="D15" s="205"/>
      <c r="E15" s="206"/>
      <c r="G15" s="207" t="s">
        <v>241</v>
      </c>
      <c r="H15" s="208"/>
      <c r="I15" s="209"/>
    </row>
    <row r="16" spans="2:11" ht="16.5" thickBot="1">
      <c r="B16" s="39"/>
      <c r="C16" s="47"/>
      <c r="E16" s="86"/>
      <c r="G16" s="93" t="s">
        <v>224</v>
      </c>
      <c r="H16" s="63">
        <v>550</v>
      </c>
      <c r="I16" s="94"/>
    </row>
    <row r="17" spans="2:9" ht="15.75">
      <c r="B17" s="197" t="s">
        <v>201</v>
      </c>
      <c r="C17" s="211"/>
      <c r="D17" s="199" t="s">
        <v>200</v>
      </c>
      <c r="E17" s="198">
        <f>C4-C18</f>
        <v>21250</v>
      </c>
      <c r="G17" s="89" t="s">
        <v>203</v>
      </c>
      <c r="H17" s="64">
        <f>H16*0.1</f>
        <v>55</v>
      </c>
      <c r="I17" s="90" t="s">
        <v>202</v>
      </c>
    </row>
    <row r="18" spans="2:9" ht="15.75">
      <c r="B18" s="100" t="s">
        <v>198</v>
      </c>
      <c r="C18" s="65">
        <f>C4*0.75</f>
        <v>63750</v>
      </c>
      <c r="D18" s="67"/>
      <c r="E18" s="101"/>
      <c r="G18" s="89" t="s">
        <v>34</v>
      </c>
      <c r="H18" s="64">
        <f>H16*0.1</f>
        <v>55</v>
      </c>
      <c r="I18" s="90" t="s">
        <v>199</v>
      </c>
    </row>
    <row r="19" spans="2:9" ht="16.5" thickBot="1">
      <c r="B19" s="100" t="s">
        <v>196</v>
      </c>
      <c r="C19" s="72">
        <v>0.15</v>
      </c>
      <c r="D19" s="67"/>
      <c r="E19" s="101"/>
      <c r="G19" s="95" t="s">
        <v>218</v>
      </c>
      <c r="H19" s="96">
        <f>(H16-H17-H18)*12</f>
        <v>5280</v>
      </c>
      <c r="I19" s="97"/>
    </row>
    <row r="20" spans="2:9" ht="15.75">
      <c r="B20" s="100" t="s">
        <v>195</v>
      </c>
      <c r="C20" s="73">
        <v>9</v>
      </c>
      <c r="D20" s="67"/>
      <c r="E20" s="101"/>
    </row>
    <row r="21" spans="2:9" ht="16.5" thickBot="1">
      <c r="B21" s="100" t="s">
        <v>194</v>
      </c>
      <c r="C21" s="74">
        <f>C18*0.04</f>
        <v>2550</v>
      </c>
      <c r="D21" s="67"/>
      <c r="E21" s="101"/>
      <c r="G21" s="39"/>
      <c r="H21" s="47"/>
    </row>
    <row r="22" spans="2:9" ht="15.75">
      <c r="B22" s="91" t="s">
        <v>193</v>
      </c>
      <c r="C22" s="58">
        <f>C18*C19/12*C20+C21</f>
        <v>9721.875</v>
      </c>
      <c r="D22" s="25"/>
      <c r="E22" s="142">
        <f>C22</f>
        <v>9721.875</v>
      </c>
      <c r="G22" s="194" t="s">
        <v>243</v>
      </c>
      <c r="H22" s="195"/>
      <c r="I22" s="210"/>
    </row>
    <row r="23" spans="2:9" ht="18" customHeight="1" thickBot="1">
      <c r="B23" s="202"/>
      <c r="C23" s="191"/>
      <c r="D23" s="201" t="s">
        <v>189</v>
      </c>
      <c r="E23" s="200">
        <f ca="1">SUM(E5:E23)</f>
        <v>69721.875</v>
      </c>
      <c r="G23" s="103" t="s">
        <v>192</v>
      </c>
      <c r="H23" s="82">
        <f>H19-H21*12</f>
        <v>5280</v>
      </c>
      <c r="I23" s="117"/>
    </row>
    <row r="24" spans="2:9" ht="17.25" customHeight="1" thickBot="1">
      <c r="B24" s="77"/>
      <c r="C24" s="78"/>
      <c r="D24" s="78"/>
      <c r="E24" s="79"/>
      <c r="G24" s="118" t="s">
        <v>191</v>
      </c>
      <c r="H24" s="84">
        <f>H23/12</f>
        <v>440</v>
      </c>
      <c r="I24" s="119"/>
    </row>
    <row r="25" spans="2:9" ht="15.75">
      <c r="B25" s="194" t="s">
        <v>247</v>
      </c>
      <c r="C25" s="195"/>
      <c r="D25" s="195"/>
      <c r="E25" s="210"/>
      <c r="G25" s="89"/>
      <c r="H25" s="67"/>
      <c r="I25" s="102"/>
    </row>
    <row r="26" spans="2:9" ht="15.75" customHeight="1">
      <c r="B26" s="184" t="s">
        <v>252</v>
      </c>
      <c r="C26" s="185"/>
      <c r="D26" s="185"/>
      <c r="E26" s="186"/>
      <c r="G26" s="207" t="s">
        <v>244</v>
      </c>
      <c r="H26" s="208"/>
      <c r="I26" s="209"/>
    </row>
    <row r="27" spans="2:9" ht="15.75">
      <c r="B27" s="150" t="s">
        <v>190</v>
      </c>
      <c r="C27" s="151">
        <f>C4+C5+C6+C15+C22</f>
        <v>133471.875</v>
      </c>
      <c r="D27" s="67"/>
      <c r="E27" s="102"/>
      <c r="G27" s="103" t="s">
        <v>188</v>
      </c>
      <c r="H27" s="82">
        <f>H13-H21*12</f>
        <v>13056</v>
      </c>
      <c r="I27" s="117"/>
    </row>
    <row r="28" spans="2:9" ht="16.5" thickBot="1">
      <c r="B28" s="103" t="s">
        <v>186</v>
      </c>
      <c r="C28" s="80">
        <v>135000</v>
      </c>
      <c r="D28" s="67"/>
      <c r="E28" s="102"/>
      <c r="G28" s="120" t="s">
        <v>187</v>
      </c>
      <c r="H28" s="121">
        <f>H27/12</f>
        <v>1088</v>
      </c>
      <c r="I28" s="122"/>
    </row>
    <row r="29" spans="2:9" ht="16.5" thickBot="1">
      <c r="B29" s="103" t="s">
        <v>185</v>
      </c>
      <c r="C29" s="81">
        <v>0.75</v>
      </c>
      <c r="D29" s="67"/>
      <c r="E29" s="102"/>
    </row>
    <row r="30" spans="2:9" ht="15.75">
      <c r="B30" s="103" t="s">
        <v>182</v>
      </c>
      <c r="C30" s="82">
        <f>C28*C29</f>
        <v>101250</v>
      </c>
      <c r="D30" s="67"/>
      <c r="E30" s="102"/>
      <c r="G30" s="194" t="s">
        <v>245</v>
      </c>
      <c r="H30" s="195"/>
      <c r="I30" s="210"/>
    </row>
    <row r="31" spans="2:9" ht="15.75">
      <c r="B31" s="103" t="s">
        <v>178</v>
      </c>
      <c r="C31" s="82">
        <f>C27-C30</f>
        <v>32221.875</v>
      </c>
      <c r="D31" s="67"/>
      <c r="E31" s="102"/>
      <c r="G31" s="103" t="s">
        <v>184</v>
      </c>
      <c r="H31" s="83">
        <v>0.06</v>
      </c>
      <c r="I31" s="117" t="s">
        <v>183</v>
      </c>
    </row>
    <row r="32" spans="2:9" ht="17.25" customHeight="1" thickBot="1">
      <c r="B32" s="104" t="s">
        <v>180</v>
      </c>
      <c r="C32" s="105">
        <f ca="1">E23-C31</f>
        <v>37500</v>
      </c>
      <c r="D32" s="106"/>
      <c r="E32" s="107"/>
      <c r="G32" s="103" t="s">
        <v>181</v>
      </c>
      <c r="H32" s="82">
        <f>C30*H31</f>
        <v>6075</v>
      </c>
      <c r="I32" s="123"/>
    </row>
    <row r="33" spans="2:10" ht="16.5" thickBot="1">
      <c r="B33" s="76"/>
      <c r="C33" s="76"/>
      <c r="G33" s="120" t="s">
        <v>179</v>
      </c>
      <c r="H33" s="121">
        <f>H32/12</f>
        <v>506.25</v>
      </c>
      <c r="I33" s="122"/>
    </row>
    <row r="34" spans="2:10" ht="16.5" thickBot="1">
      <c r="B34"/>
      <c r="G34" s="39"/>
      <c r="H34" s="42"/>
    </row>
    <row r="35" spans="2:10" ht="15.75">
      <c r="B35" s="194" t="s">
        <v>240</v>
      </c>
      <c r="C35" s="195"/>
      <c r="D35" s="195"/>
      <c r="E35" s="210"/>
      <c r="G35" s="194" t="s">
        <v>37</v>
      </c>
      <c r="H35" s="195"/>
      <c r="I35" s="210"/>
    </row>
    <row r="36" spans="2:10">
      <c r="B36" s="146" t="s">
        <v>167</v>
      </c>
      <c r="C36" s="147">
        <f>H42/C31</f>
        <v>0.21665405877218505</v>
      </c>
      <c r="D36" s="148"/>
      <c r="E36" s="149"/>
      <c r="G36" s="171" t="s">
        <v>241</v>
      </c>
      <c r="H36" s="172"/>
      <c r="I36" s="173"/>
    </row>
    <row r="37" spans="2:10" ht="15.75">
      <c r="B37" s="89"/>
      <c r="C37" s="67"/>
      <c r="D37" s="67"/>
      <c r="E37" s="102"/>
      <c r="G37" s="100" t="s">
        <v>177</v>
      </c>
      <c r="H37" s="70">
        <f>H24-H33</f>
        <v>-66.25</v>
      </c>
      <c r="I37" s="102"/>
    </row>
    <row r="38" spans="2:10" ht="15.75">
      <c r="B38" s="212" t="s">
        <v>239</v>
      </c>
      <c r="C38" s="214"/>
      <c r="D38" s="214"/>
      <c r="E38" s="216"/>
      <c r="G38" s="124" t="s">
        <v>175</v>
      </c>
      <c r="H38" s="71">
        <f>H37*12</f>
        <v>-795</v>
      </c>
      <c r="I38" s="125"/>
    </row>
    <row r="39" spans="2:10" ht="15.75">
      <c r="B39" s="108" t="s">
        <v>168</v>
      </c>
      <c r="C39" s="155">
        <f>H38/C31</f>
        <v>-2.4672679662496363E-2</v>
      </c>
      <c r="D39" s="78"/>
      <c r="E39" s="109"/>
      <c r="G39" s="100"/>
      <c r="H39" s="70"/>
      <c r="I39" s="102"/>
    </row>
    <row r="40" spans="2:10" ht="15.75">
      <c r="B40" s="108" t="s">
        <v>166</v>
      </c>
      <c r="C40" s="88">
        <f>C44-C27-C45-C46</f>
        <v>-996.875</v>
      </c>
      <c r="D40" s="78"/>
      <c r="E40" s="109"/>
      <c r="F40" s="39"/>
      <c r="G40" s="171" t="s">
        <v>4</v>
      </c>
      <c r="H40" s="172"/>
      <c r="I40" s="173"/>
    </row>
    <row r="41" spans="2:10" ht="15.75">
      <c r="B41" s="110" t="s">
        <v>165</v>
      </c>
      <c r="C41" s="154">
        <f ca="1">C40/E23/(C20/12)</f>
        <v>-2.5620247112784429</v>
      </c>
      <c r="D41" s="87"/>
      <c r="E41" s="111"/>
      <c r="G41" s="143" t="s">
        <v>172</v>
      </c>
      <c r="H41" s="144">
        <f>H28-H33</f>
        <v>581.75</v>
      </c>
      <c r="I41" s="145"/>
    </row>
    <row r="42" spans="2:10" ht="21.75" thickBot="1">
      <c r="B42" s="112"/>
      <c r="C42" s="67"/>
      <c r="D42" s="67"/>
      <c r="E42" s="102"/>
      <c r="G42" s="126" t="s">
        <v>169</v>
      </c>
      <c r="H42" s="152">
        <f>H41*12</f>
        <v>6981</v>
      </c>
      <c r="I42" s="107"/>
    </row>
    <row r="43" spans="2:10" ht="16.5" customHeight="1" thickBot="1">
      <c r="B43" s="212" t="s">
        <v>246</v>
      </c>
      <c r="C43" s="213"/>
      <c r="D43" s="213"/>
      <c r="E43" s="215"/>
      <c r="G43" s="39"/>
      <c r="I43" s="39"/>
    </row>
    <row r="44" spans="2:10" ht="16.5" customHeight="1">
      <c r="B44" s="113" t="s">
        <v>176</v>
      </c>
      <c r="C44" s="80">
        <v>135000</v>
      </c>
      <c r="D44" s="67"/>
      <c r="E44" s="102"/>
      <c r="G44" s="99" t="s">
        <v>7</v>
      </c>
      <c r="H44" s="127"/>
      <c r="I44" s="128" t="s">
        <v>8</v>
      </c>
    </row>
    <row r="45" spans="2:10" ht="16.5" customHeight="1">
      <c r="B45" s="113" t="s">
        <v>174</v>
      </c>
      <c r="C45" s="80">
        <f>C44*0.015</f>
        <v>2025</v>
      </c>
      <c r="D45" s="67" t="s">
        <v>173</v>
      </c>
      <c r="E45" s="102"/>
      <c r="G45" s="89" t="s">
        <v>10</v>
      </c>
      <c r="H45" s="66" t="s">
        <v>11</v>
      </c>
      <c r="I45" s="129">
        <f>SUM(H41*12)</f>
        <v>6981</v>
      </c>
      <c r="J45" s="39"/>
    </row>
    <row r="46" spans="2:10" ht="16.5" customHeight="1" thickBot="1">
      <c r="B46" s="114" t="s">
        <v>171</v>
      </c>
      <c r="C46" s="115">
        <f>C11</f>
        <v>500</v>
      </c>
      <c r="D46" s="106" t="s">
        <v>170</v>
      </c>
      <c r="E46" s="107"/>
      <c r="G46" s="89" t="s">
        <v>13</v>
      </c>
      <c r="H46" s="66" t="s">
        <v>14</v>
      </c>
      <c r="I46" s="129">
        <f>SUM(H41*24)</f>
        <v>13962</v>
      </c>
    </row>
    <row r="47" spans="2:10" ht="16.5" customHeight="1">
      <c r="G47" s="89" t="s">
        <v>16</v>
      </c>
      <c r="H47" s="66" t="s">
        <v>17</v>
      </c>
      <c r="I47" s="129">
        <f>SUM(H41*36)</f>
        <v>20943</v>
      </c>
    </row>
    <row r="48" spans="2:10" ht="16.5" customHeight="1">
      <c r="B48" s="76" t="s">
        <v>164</v>
      </c>
      <c r="G48" s="89" t="s">
        <v>19</v>
      </c>
      <c r="H48" s="66" t="s">
        <v>20</v>
      </c>
      <c r="I48" s="129">
        <f>SUM(H41*48)</f>
        <v>27924</v>
      </c>
    </row>
    <row r="49" spans="2:9" ht="16.5" customHeight="1">
      <c r="G49" s="130" t="s">
        <v>21</v>
      </c>
      <c r="H49" s="68" t="s">
        <v>22</v>
      </c>
      <c r="I49" s="131">
        <f>SUM(H41*60)</f>
        <v>34905</v>
      </c>
    </row>
    <row r="50" spans="2:9" ht="19.5" customHeight="1">
      <c r="B50"/>
      <c r="G50" s="89"/>
      <c r="H50" s="67"/>
      <c r="I50" s="129"/>
    </row>
    <row r="51" spans="2:9" ht="16.5" customHeight="1">
      <c r="B51"/>
      <c r="G51" s="132" t="s">
        <v>238</v>
      </c>
      <c r="H51" s="69"/>
      <c r="I51" s="133"/>
    </row>
    <row r="52" spans="2:9" ht="16.5" customHeight="1">
      <c r="B52"/>
      <c r="G52" s="89" t="s">
        <v>10</v>
      </c>
      <c r="H52" s="156" t="s">
        <v>11</v>
      </c>
      <c r="I52" s="129">
        <f>I59+I45</f>
        <v>37481</v>
      </c>
    </row>
    <row r="53" spans="2:9" ht="15.75">
      <c r="B53"/>
      <c r="G53" s="89" t="s">
        <v>13</v>
      </c>
      <c r="H53" s="66" t="s">
        <v>14</v>
      </c>
      <c r="I53" s="129">
        <f>I59+I46</f>
        <v>44462</v>
      </c>
    </row>
    <row r="54" spans="2:9" ht="15.75">
      <c r="B54"/>
      <c r="G54" s="89" t="s">
        <v>16</v>
      </c>
      <c r="H54" s="66" t="s">
        <v>17</v>
      </c>
      <c r="I54" s="129">
        <f>I59+I47</f>
        <v>51443</v>
      </c>
    </row>
    <row r="55" spans="2:9" ht="15.75">
      <c r="B55"/>
      <c r="G55" s="89" t="s">
        <v>19</v>
      </c>
      <c r="H55" s="66" t="s">
        <v>20</v>
      </c>
      <c r="I55" s="129">
        <f>I59+I48</f>
        <v>58424</v>
      </c>
    </row>
    <row r="56" spans="2:9" ht="15.75">
      <c r="B56"/>
      <c r="G56" s="130" t="s">
        <v>21</v>
      </c>
      <c r="H56" s="68" t="s">
        <v>22</v>
      </c>
      <c r="I56" s="131">
        <f>I59+I49</f>
        <v>65405</v>
      </c>
    </row>
    <row r="57" spans="2:9" ht="15.75">
      <c r="B57"/>
      <c r="G57" s="89"/>
      <c r="H57" s="67"/>
      <c r="I57" s="102"/>
    </row>
    <row r="58" spans="2:9" ht="15.75">
      <c r="B58"/>
      <c r="G58" s="132" t="s">
        <v>237</v>
      </c>
      <c r="H58" s="69"/>
      <c r="I58" s="133"/>
    </row>
    <row r="59" spans="2:9" ht="16.5" thickBot="1">
      <c r="B59"/>
      <c r="G59" s="134"/>
      <c r="H59" s="135"/>
      <c r="I59" s="218">
        <f>SUM(C18-C5+C15)</f>
        <v>30500</v>
      </c>
    </row>
    <row r="60" spans="2:9" ht="15.75">
      <c r="B60"/>
    </row>
    <row r="61" spans="2:9" ht="15.75">
      <c r="B61"/>
    </row>
    <row r="62" spans="2:9" ht="15.75">
      <c r="B62"/>
    </row>
    <row r="63" spans="2:9" ht="15.75">
      <c r="B63"/>
    </row>
    <row r="64" spans="2:9" ht="15.75">
      <c r="B64"/>
    </row>
    <row r="65" spans="2:2" ht="15.75">
      <c r="B65"/>
    </row>
    <row r="66" spans="2:2" ht="15.75">
      <c r="B66"/>
    </row>
    <row r="67" spans="2:2" ht="15.75">
      <c r="B67"/>
    </row>
    <row r="68" spans="2:2" ht="15.75">
      <c r="B68"/>
    </row>
    <row r="69" spans="2:2" ht="15.75">
      <c r="B69"/>
    </row>
    <row r="70" spans="2:2" ht="15.75">
      <c r="B70"/>
    </row>
    <row r="71" spans="2:2" ht="15.75">
      <c r="B71"/>
    </row>
    <row r="72" spans="2:2" ht="15.75">
      <c r="B72"/>
    </row>
    <row r="73" spans="2:2" ht="15.75">
      <c r="B73"/>
    </row>
    <row r="74" spans="2:2" ht="15.75">
      <c r="B74"/>
    </row>
    <row r="75" spans="2:2" ht="15.75">
      <c r="B75"/>
    </row>
    <row r="76" spans="2:2" ht="15.75">
      <c r="B76"/>
    </row>
    <row r="77" spans="2:2" ht="15.75">
      <c r="B77"/>
    </row>
    <row r="78" spans="2:2" ht="15.75">
      <c r="B78"/>
    </row>
    <row r="79" spans="2:2" ht="15.75">
      <c r="B79"/>
    </row>
    <row r="80" spans="2:2" ht="15.75">
      <c r="B80"/>
    </row>
    <row r="81" spans="2:2" ht="15.75">
      <c r="B81"/>
    </row>
    <row r="82" spans="2:2" ht="15.75">
      <c r="B82"/>
    </row>
    <row r="83" spans="2:2" ht="15.75">
      <c r="B83"/>
    </row>
    <row r="84" spans="2:2" ht="15.75">
      <c r="B84"/>
    </row>
    <row r="85" spans="2:2" ht="15.75">
      <c r="B85"/>
    </row>
    <row r="86" spans="2:2" ht="15.75">
      <c r="B86"/>
    </row>
    <row r="87" spans="2:2" ht="15.75">
      <c r="B87"/>
    </row>
    <row r="88" spans="2:2" ht="15.75">
      <c r="B88"/>
    </row>
    <row r="89" spans="2:2" ht="15.75">
      <c r="B89"/>
    </row>
    <row r="90" spans="2:2" ht="15.75">
      <c r="B90"/>
    </row>
    <row r="91" spans="2:2" ht="15.75">
      <c r="B91"/>
    </row>
    <row r="92" spans="2:2" ht="15.75">
      <c r="B92"/>
    </row>
  </sheetData>
  <mergeCells count="17">
    <mergeCell ref="G4:I4"/>
    <mergeCell ref="G35:I35"/>
    <mergeCell ref="B8:D8"/>
    <mergeCell ref="C1:E1"/>
    <mergeCell ref="B35:E35"/>
    <mergeCell ref="B3:D3"/>
    <mergeCell ref="B25:E25"/>
    <mergeCell ref="G5:I5"/>
    <mergeCell ref="B26:E26"/>
    <mergeCell ref="G6:I6"/>
    <mergeCell ref="G40:I40"/>
    <mergeCell ref="G36:I36"/>
    <mergeCell ref="G30:I30"/>
    <mergeCell ref="G22:I22"/>
    <mergeCell ref="G14:I14"/>
    <mergeCell ref="G15:I15"/>
    <mergeCell ref="G26:I26"/>
  </mergeCells>
  <pageMargins left="0.75" right="0.75" top="1" bottom="1" header="0.5" footer="0.5"/>
  <pageSetup paperSize="9" scale="5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2C2A-0424-4FFD-8C4D-338751F84489}">
  <dimension ref="A1:C67"/>
  <sheetViews>
    <sheetView topLeftCell="A40" workbookViewId="0">
      <selection activeCell="E22" sqref="E22"/>
    </sheetView>
  </sheetViews>
  <sheetFormatPr defaultRowHeight="12.75"/>
  <cols>
    <col min="1" max="1" width="23" style="157" bestFit="1" customWidth="1"/>
    <col min="2" max="2" width="31.125" style="157" customWidth="1"/>
    <col min="3" max="16384" width="9" style="157"/>
  </cols>
  <sheetData>
    <row r="1" spans="1:3" s="163" customFormat="1" ht="15.75">
      <c r="A1" s="162" t="s">
        <v>256</v>
      </c>
      <c r="B1" s="162" t="s">
        <v>257</v>
      </c>
      <c r="C1" s="162" t="s">
        <v>263</v>
      </c>
    </row>
    <row r="2" spans="1:3">
      <c r="A2" s="159" t="s">
        <v>228</v>
      </c>
      <c r="B2" s="157" t="s">
        <v>258</v>
      </c>
    </row>
    <row r="3" spans="1:3">
      <c r="A3" s="159" t="s">
        <v>226</v>
      </c>
      <c r="B3" s="157" t="s">
        <v>259</v>
      </c>
    </row>
    <row r="4" spans="1:3">
      <c r="A4" s="159" t="s">
        <v>223</v>
      </c>
      <c r="B4" s="157" t="s">
        <v>260</v>
      </c>
    </row>
    <row r="5" spans="1:3">
      <c r="A5" s="158" t="s">
        <v>221</v>
      </c>
      <c r="B5" s="157" t="s">
        <v>261</v>
      </c>
    </row>
    <row r="6" spans="1:3" ht="15.75">
      <c r="A6" s="157" t="s">
        <v>220</v>
      </c>
      <c r="B6" s="157" t="s">
        <v>262</v>
      </c>
      <c r="C6" s="160" t="s">
        <v>264</v>
      </c>
    </row>
    <row r="7" spans="1:3">
      <c r="A7" s="157" t="s">
        <v>156</v>
      </c>
      <c r="B7" s="157" t="s">
        <v>265</v>
      </c>
    </row>
    <row r="8" spans="1:3">
      <c r="A8" s="157" t="s">
        <v>215</v>
      </c>
      <c r="B8" s="157" t="s">
        <v>272</v>
      </c>
    </row>
    <row r="9" spans="1:3">
      <c r="A9" s="157" t="s">
        <v>159</v>
      </c>
      <c r="B9" s="157" t="s">
        <v>273</v>
      </c>
    </row>
    <row r="10" spans="1:3">
      <c r="A10" s="157" t="s">
        <v>210</v>
      </c>
      <c r="B10" s="157" t="s">
        <v>281</v>
      </c>
    </row>
    <row r="11" spans="1:3">
      <c r="A11" s="157" t="s">
        <v>207</v>
      </c>
      <c r="B11" s="157" t="s">
        <v>285</v>
      </c>
    </row>
    <row r="12" spans="1:3">
      <c r="A12" s="157" t="s">
        <v>201</v>
      </c>
      <c r="B12" s="157" t="s">
        <v>301</v>
      </c>
    </row>
    <row r="13" spans="1:3">
      <c r="A13" s="157" t="s">
        <v>198</v>
      </c>
      <c r="B13" s="157" t="s">
        <v>302</v>
      </c>
    </row>
    <row r="14" spans="1:3">
      <c r="A14" s="157" t="s">
        <v>196</v>
      </c>
      <c r="B14" s="157" t="s">
        <v>303</v>
      </c>
    </row>
    <row r="15" spans="1:3">
      <c r="A15" s="157" t="s">
        <v>195</v>
      </c>
      <c r="B15" s="157" t="s">
        <v>304</v>
      </c>
    </row>
    <row r="16" spans="1:3">
      <c r="A16" s="157" t="s">
        <v>194</v>
      </c>
      <c r="B16" s="157" t="s">
        <v>305</v>
      </c>
    </row>
    <row r="17" spans="1:2">
      <c r="A17" s="157" t="s">
        <v>247</v>
      </c>
      <c r="B17" s="157" t="s">
        <v>306</v>
      </c>
    </row>
    <row r="18" spans="1:2">
      <c r="A18" s="157" t="s">
        <v>190</v>
      </c>
      <c r="B18" s="164" t="s">
        <v>307</v>
      </c>
    </row>
    <row r="19" spans="1:2">
      <c r="A19" s="157" t="s">
        <v>186</v>
      </c>
      <c r="B19" s="164" t="s">
        <v>308</v>
      </c>
    </row>
    <row r="20" spans="1:2">
      <c r="A20" s="157" t="s">
        <v>185</v>
      </c>
      <c r="B20" s="164" t="s">
        <v>309</v>
      </c>
    </row>
    <row r="21" spans="1:2">
      <c r="A21" s="157" t="s">
        <v>182</v>
      </c>
      <c r="B21" s="164" t="s">
        <v>310</v>
      </c>
    </row>
    <row r="22" spans="1:2">
      <c r="A22" s="157" t="s">
        <v>178</v>
      </c>
      <c r="B22" s="164" t="s">
        <v>311</v>
      </c>
    </row>
    <row r="23" spans="1:2">
      <c r="A23" s="157" t="s">
        <v>180</v>
      </c>
      <c r="B23" s="161"/>
    </row>
    <row r="24" spans="1:2">
      <c r="A24" s="157" t="s">
        <v>240</v>
      </c>
      <c r="B24" s="161" t="s">
        <v>286</v>
      </c>
    </row>
    <row r="25" spans="1:2">
      <c r="A25" s="157" t="s">
        <v>167</v>
      </c>
      <c r="B25" s="161" t="s">
        <v>287</v>
      </c>
    </row>
    <row r="26" spans="1:2">
      <c r="A26" s="157" t="s">
        <v>239</v>
      </c>
      <c r="B26" s="161" t="s">
        <v>274</v>
      </c>
    </row>
    <row r="27" spans="1:2">
      <c r="A27" s="157" t="s">
        <v>168</v>
      </c>
      <c r="B27" s="161" t="s">
        <v>287</v>
      </c>
    </row>
    <row r="28" spans="1:2">
      <c r="A28" s="157" t="s">
        <v>166</v>
      </c>
      <c r="B28" s="161" t="s">
        <v>275</v>
      </c>
    </row>
    <row r="29" spans="1:2">
      <c r="A29" s="157" t="s">
        <v>165</v>
      </c>
      <c r="B29" s="161" t="s">
        <v>276</v>
      </c>
    </row>
    <row r="30" spans="1:2">
      <c r="A30" s="157" t="s">
        <v>246</v>
      </c>
      <c r="B30" s="161" t="s">
        <v>282</v>
      </c>
    </row>
    <row r="31" spans="1:2">
      <c r="A31" s="157" t="s">
        <v>176</v>
      </c>
      <c r="B31" s="161" t="s">
        <v>288</v>
      </c>
    </row>
    <row r="32" spans="1:2">
      <c r="A32" s="157" t="s">
        <v>174</v>
      </c>
      <c r="B32" s="161"/>
    </row>
    <row r="33" spans="1:2">
      <c r="A33" s="157" t="s">
        <v>171</v>
      </c>
      <c r="B33" s="161"/>
    </row>
    <row r="34" spans="1:2">
      <c r="A34" s="157" t="s">
        <v>242</v>
      </c>
      <c r="B34" s="161" t="s">
        <v>277</v>
      </c>
    </row>
    <row r="35" spans="1:2">
      <c r="A35" s="157" t="s">
        <v>214</v>
      </c>
      <c r="B35" s="161" t="s">
        <v>266</v>
      </c>
    </row>
    <row r="36" spans="1:2">
      <c r="A36" s="157" t="s">
        <v>250</v>
      </c>
      <c r="B36" s="161" t="s">
        <v>283</v>
      </c>
    </row>
    <row r="37" spans="1:2">
      <c r="A37" s="157" t="s">
        <v>233</v>
      </c>
      <c r="B37" s="161" t="s">
        <v>289</v>
      </c>
    </row>
    <row r="38" spans="1:2">
      <c r="A38" s="157" t="s">
        <v>208</v>
      </c>
      <c r="B38" s="161"/>
    </row>
    <row r="39" spans="1:2">
      <c r="A39" s="157" t="s">
        <v>205</v>
      </c>
      <c r="B39" s="161" t="s">
        <v>278</v>
      </c>
    </row>
    <row r="40" spans="1:2">
      <c r="A40" s="157" t="s">
        <v>203</v>
      </c>
      <c r="B40" s="161" t="s">
        <v>279</v>
      </c>
    </row>
    <row r="41" spans="1:2">
      <c r="A41" s="157" t="s">
        <v>34</v>
      </c>
      <c r="B41" s="161" t="s">
        <v>267</v>
      </c>
    </row>
    <row r="42" spans="1:2">
      <c r="A42" s="157" t="s">
        <v>197</v>
      </c>
      <c r="B42" s="161" t="s">
        <v>290</v>
      </c>
    </row>
    <row r="43" spans="1:2">
      <c r="A43" s="157" t="s">
        <v>241</v>
      </c>
      <c r="B43" s="161" t="s">
        <v>268</v>
      </c>
    </row>
    <row r="44" spans="1:2">
      <c r="A44" s="157" t="s">
        <v>224</v>
      </c>
      <c r="B44" s="161" t="s">
        <v>291</v>
      </c>
    </row>
    <row r="45" spans="1:2">
      <c r="A45" s="157" t="s">
        <v>203</v>
      </c>
      <c r="B45" s="161" t="s">
        <v>279</v>
      </c>
    </row>
    <row r="46" spans="1:2">
      <c r="A46" s="157" t="s">
        <v>34</v>
      </c>
      <c r="B46" s="161" t="s">
        <v>267</v>
      </c>
    </row>
    <row r="47" spans="1:2">
      <c r="A47" s="157" t="s">
        <v>218</v>
      </c>
      <c r="B47" s="161" t="s">
        <v>292</v>
      </c>
    </row>
    <row r="48" spans="1:2">
      <c r="A48" s="157" t="s">
        <v>243</v>
      </c>
      <c r="B48" s="161" t="s">
        <v>284</v>
      </c>
    </row>
    <row r="49" spans="1:2">
      <c r="A49" s="157" t="s">
        <v>192</v>
      </c>
      <c r="B49" s="161" t="s">
        <v>292</v>
      </c>
    </row>
    <row r="50" spans="1:2">
      <c r="A50" s="157" t="s">
        <v>191</v>
      </c>
      <c r="B50" s="161" t="s">
        <v>293</v>
      </c>
    </row>
    <row r="51" spans="1:2">
      <c r="A51" s="157" t="s">
        <v>244</v>
      </c>
      <c r="B51" s="161" t="s">
        <v>284</v>
      </c>
    </row>
    <row r="52" spans="1:2">
      <c r="A52" s="157" t="s">
        <v>188</v>
      </c>
      <c r="B52" s="161" t="s">
        <v>290</v>
      </c>
    </row>
    <row r="53" spans="1:2">
      <c r="A53" s="157" t="s">
        <v>187</v>
      </c>
      <c r="B53" s="161" t="s">
        <v>293</v>
      </c>
    </row>
    <row r="54" spans="1:2">
      <c r="A54" s="157" t="s">
        <v>245</v>
      </c>
      <c r="B54" s="161" t="s">
        <v>269</v>
      </c>
    </row>
    <row r="55" spans="1:2">
      <c r="A55" s="157" t="s">
        <v>184</v>
      </c>
      <c r="B55" s="161" t="s">
        <v>280</v>
      </c>
    </row>
    <row r="56" spans="1:2">
      <c r="A56" s="157" t="s">
        <v>181</v>
      </c>
      <c r="B56" s="161" t="s">
        <v>294</v>
      </c>
    </row>
    <row r="57" spans="1:2">
      <c r="A57" s="157" t="s">
        <v>179</v>
      </c>
      <c r="B57" s="161" t="s">
        <v>295</v>
      </c>
    </row>
    <row r="58" spans="1:2">
      <c r="A58" s="157" t="s">
        <v>37</v>
      </c>
      <c r="B58" s="161" t="s">
        <v>270</v>
      </c>
    </row>
    <row r="59" spans="1:2">
      <c r="A59" s="157" t="s">
        <v>241</v>
      </c>
      <c r="B59" s="161" t="s">
        <v>268</v>
      </c>
    </row>
    <row r="60" spans="1:2">
      <c r="A60" s="157" t="s">
        <v>177</v>
      </c>
      <c r="B60" s="161" t="s">
        <v>296</v>
      </c>
    </row>
    <row r="61" spans="1:2">
      <c r="A61" s="157" t="s">
        <v>175</v>
      </c>
      <c r="B61" s="161" t="s">
        <v>297</v>
      </c>
    </row>
    <row r="62" spans="1:2">
      <c r="A62" s="157" t="s">
        <v>4</v>
      </c>
      <c r="B62" s="161" t="s">
        <v>271</v>
      </c>
    </row>
    <row r="63" spans="1:2">
      <c r="A63" s="157" t="s">
        <v>172</v>
      </c>
      <c r="B63" s="161" t="s">
        <v>296</v>
      </c>
    </row>
    <row r="64" spans="1:2">
      <c r="A64" s="157" t="s">
        <v>169</v>
      </c>
      <c r="B64" s="161" t="s">
        <v>297</v>
      </c>
    </row>
    <row r="65" spans="1:2">
      <c r="A65" s="157" t="s">
        <v>7</v>
      </c>
      <c r="B65" s="161" t="s">
        <v>298</v>
      </c>
    </row>
    <row r="66" spans="1:2">
      <c r="A66" s="157" t="s">
        <v>238</v>
      </c>
      <c r="B66" s="161" t="s">
        <v>299</v>
      </c>
    </row>
    <row r="67" spans="1:2">
      <c r="A67" s="157" t="s">
        <v>237</v>
      </c>
      <c r="B67" s="161" t="s">
        <v>300</v>
      </c>
    </row>
  </sheetData>
  <hyperlinks>
    <hyperlink ref="C6" r:id="rId1" xr:uid="{B4033187-9ED9-4F44-BBD2-304895F3DB6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A3C8-2333-4230-A2FE-B589CEC64AD5}">
  <sheetPr>
    <pageSetUpPr fitToPage="1"/>
  </sheetPr>
  <dimension ref="A1:K91"/>
  <sheetViews>
    <sheetView zoomScale="90" zoomScaleNormal="90" workbookViewId="0">
      <selection activeCell="G15" sqref="G15"/>
    </sheetView>
  </sheetViews>
  <sheetFormatPr defaultColWidth="11" defaultRowHeight="21"/>
  <cols>
    <col min="1" max="1" width="31.875" style="37" customWidth="1"/>
    <col min="2" max="2" width="19.125" customWidth="1"/>
    <col min="3" max="3" width="14.875" customWidth="1"/>
    <col min="4" max="4" width="18" customWidth="1"/>
    <col min="5" max="5" width="11" customWidth="1"/>
    <col min="6" max="6" width="30" customWidth="1"/>
    <col min="7" max="12" width="11" customWidth="1"/>
    <col min="13" max="13" width="14.875" customWidth="1"/>
  </cols>
  <sheetData>
    <row r="1" spans="1:11">
      <c r="A1" s="56" t="s">
        <v>231</v>
      </c>
      <c r="B1" s="188" t="s">
        <v>230</v>
      </c>
      <c r="C1" s="189"/>
      <c r="D1" s="189"/>
      <c r="E1" s="56"/>
    </row>
    <row r="2" spans="1:11" ht="33">
      <c r="D2" s="57" t="s">
        <v>229</v>
      </c>
    </row>
    <row r="3" spans="1:11" ht="15.75">
      <c r="A3" s="39" t="s">
        <v>228</v>
      </c>
      <c r="B3" s="52">
        <v>75000</v>
      </c>
      <c r="F3" s="39" t="s">
        <v>227</v>
      </c>
      <c r="G3" s="35"/>
      <c r="H3" s="35"/>
    </row>
    <row r="4" spans="1:11" ht="15.75">
      <c r="A4" s="39" t="s">
        <v>226</v>
      </c>
      <c r="B4" s="52">
        <v>35000</v>
      </c>
      <c r="C4" t="s">
        <v>225</v>
      </c>
      <c r="D4" s="35">
        <f>B4</f>
        <v>35000</v>
      </c>
      <c r="F4" t="s">
        <v>224</v>
      </c>
      <c r="G4" s="34">
        <v>550</v>
      </c>
      <c r="H4" s="35"/>
    </row>
    <row r="5" spans="1:11" ht="15.75">
      <c r="A5" s="39" t="s">
        <v>223</v>
      </c>
      <c r="B5" s="52">
        <v>2000</v>
      </c>
      <c r="C5" t="s">
        <v>222</v>
      </c>
      <c r="D5" s="35">
        <f>B5</f>
        <v>2000</v>
      </c>
      <c r="F5" t="s">
        <v>203</v>
      </c>
      <c r="G5" s="35">
        <f>G4*0.1</f>
        <v>55</v>
      </c>
      <c r="H5" s="35" t="s">
        <v>202</v>
      </c>
    </row>
    <row r="6" spans="1:11" ht="15.75">
      <c r="A6"/>
    </row>
    <row r="7" spans="1:11" ht="15.75">
      <c r="A7" s="39" t="s">
        <v>221</v>
      </c>
      <c r="F7" t="s">
        <v>34</v>
      </c>
      <c r="G7" s="35">
        <f>G4*0.1</f>
        <v>55</v>
      </c>
      <c r="H7" s="35" t="s">
        <v>199</v>
      </c>
    </row>
    <row r="8" spans="1:11" ht="15.75">
      <c r="A8" s="29" t="s">
        <v>220</v>
      </c>
      <c r="B8" s="31">
        <f>SUMPRODUCT(--(B3&gt;{125000;250000;925000;1500000}), (B3-{125000;250000;925000;1500000}), {0.02;0.03;0.05;0.02})+(B3*0.03)</f>
        <v>2250</v>
      </c>
      <c r="C8" t="s">
        <v>219</v>
      </c>
      <c r="D8" s="32">
        <f t="shared" ref="D8:D13" si="0">B8</f>
        <v>2250</v>
      </c>
      <c r="F8" s="39" t="s">
        <v>218</v>
      </c>
      <c r="G8" s="47">
        <f>(G4-G5-G7)*12</f>
        <v>5280</v>
      </c>
      <c r="H8" s="35"/>
    </row>
    <row r="9" spans="1:11" ht="15.75">
      <c r="A9" t="s">
        <v>156</v>
      </c>
      <c r="B9" s="34">
        <v>500</v>
      </c>
      <c r="C9" t="s">
        <v>217</v>
      </c>
      <c r="D9" s="32">
        <f t="shared" si="0"/>
        <v>500</v>
      </c>
      <c r="F9" s="39"/>
      <c r="G9" s="47"/>
      <c r="H9" s="35"/>
    </row>
    <row r="10" spans="1:11" ht="15.75">
      <c r="A10" t="s">
        <v>215</v>
      </c>
      <c r="B10" s="34">
        <v>500</v>
      </c>
      <c r="C10" t="s">
        <v>232</v>
      </c>
      <c r="D10" s="32">
        <f t="shared" si="0"/>
        <v>500</v>
      </c>
      <c r="F10" s="190" t="s">
        <v>216</v>
      </c>
      <c r="G10" s="190"/>
      <c r="H10" s="190"/>
    </row>
    <row r="11" spans="1:11" ht="15.75">
      <c r="A11" t="s">
        <v>159</v>
      </c>
      <c r="B11" s="34">
        <v>500</v>
      </c>
      <c r="C11" t="s">
        <v>213</v>
      </c>
      <c r="D11" s="32">
        <f t="shared" si="0"/>
        <v>500</v>
      </c>
      <c r="F11" s="39"/>
      <c r="G11" s="35"/>
      <c r="H11" s="35"/>
    </row>
    <row r="12" spans="1:11" ht="15.75">
      <c r="A12" t="s">
        <v>210</v>
      </c>
      <c r="B12" s="34">
        <v>250</v>
      </c>
      <c r="C12" t="s">
        <v>209</v>
      </c>
      <c r="D12" s="32">
        <f t="shared" si="0"/>
        <v>250</v>
      </c>
      <c r="F12" s="39" t="s">
        <v>214</v>
      </c>
      <c r="G12" s="35"/>
      <c r="H12" s="35"/>
      <c r="I12" s="35"/>
    </row>
    <row r="13" spans="1:11" ht="15.75">
      <c r="A13" t="s">
        <v>207</v>
      </c>
      <c r="B13" s="34">
        <v>0</v>
      </c>
      <c r="C13" t="s">
        <v>206</v>
      </c>
      <c r="D13" s="32">
        <f t="shared" si="0"/>
        <v>0</v>
      </c>
      <c r="F13" t="s">
        <v>212</v>
      </c>
      <c r="G13" s="34">
        <v>347.6</v>
      </c>
      <c r="H13" s="35" t="s">
        <v>211</v>
      </c>
      <c r="I13" s="33"/>
      <c r="K13" s="33"/>
    </row>
    <row r="14" spans="1:11" ht="15.75">
      <c r="A14" s="39" t="s">
        <v>204</v>
      </c>
      <c r="B14" s="47">
        <f>SUM(B8:B13)</f>
        <v>4000</v>
      </c>
      <c r="F14" t="s">
        <v>233</v>
      </c>
      <c r="G14" s="34">
        <v>80</v>
      </c>
      <c r="H14" s="35"/>
      <c r="I14" s="35"/>
    </row>
    <row r="15" spans="1:11" ht="15.75">
      <c r="A15" s="39"/>
      <c r="B15" s="47"/>
      <c r="F15" t="s">
        <v>208</v>
      </c>
      <c r="G15" s="4">
        <v>5</v>
      </c>
      <c r="H15" s="35"/>
    </row>
    <row r="16" spans="1:11" ht="15.75">
      <c r="A16" s="39" t="s">
        <v>201</v>
      </c>
      <c r="B16" s="35"/>
      <c r="C16" s="39" t="s">
        <v>200</v>
      </c>
      <c r="D16" s="47">
        <f>B3-B17</f>
        <v>18750</v>
      </c>
      <c r="F16" t="s">
        <v>205</v>
      </c>
      <c r="G16" s="34">
        <f>G13*G15*0.1</f>
        <v>173.8</v>
      </c>
      <c r="H16" s="35" t="s">
        <v>199</v>
      </c>
    </row>
    <row r="17" spans="1:8" ht="15.75">
      <c r="A17" s="39" t="s">
        <v>198</v>
      </c>
      <c r="B17" s="34">
        <f>B3*0.75</f>
        <v>56250</v>
      </c>
      <c r="F17" t="s">
        <v>203</v>
      </c>
      <c r="G17" s="34">
        <f>G13*G15*0.1</f>
        <v>173.8</v>
      </c>
      <c r="H17" s="35" t="s">
        <v>202</v>
      </c>
    </row>
    <row r="18" spans="1:8" ht="15.75">
      <c r="A18" s="39" t="s">
        <v>196</v>
      </c>
      <c r="B18" s="51">
        <v>0.15</v>
      </c>
      <c r="F18" t="s">
        <v>34</v>
      </c>
      <c r="G18" s="34">
        <f>G13*G15*0.12</f>
        <v>208.56</v>
      </c>
      <c r="H18" s="35" t="s">
        <v>199</v>
      </c>
    </row>
    <row r="19" spans="1:8" ht="15.75">
      <c r="A19" s="39" t="s">
        <v>195</v>
      </c>
      <c r="B19" s="4">
        <v>9</v>
      </c>
      <c r="F19" s="39" t="s">
        <v>197</v>
      </c>
      <c r="G19" s="47">
        <f>G13*12*G15-G16*12-G17*12-G18*12</f>
        <v>14182.080000000002</v>
      </c>
    </row>
    <row r="20" spans="1:8" ht="15.75">
      <c r="A20" s="39" t="s">
        <v>194</v>
      </c>
      <c r="B20" s="55">
        <f>B17*0.04</f>
        <v>2250</v>
      </c>
      <c r="F20" s="39"/>
      <c r="G20" s="35"/>
    </row>
    <row r="21" spans="1:8" ht="15.75">
      <c r="A21" s="39" t="s">
        <v>193</v>
      </c>
      <c r="B21" s="47">
        <f>B17*B18/12*B19+B20</f>
        <v>8578.125</v>
      </c>
      <c r="D21" s="32">
        <f>B21</f>
        <v>8578.125</v>
      </c>
      <c r="F21" s="39"/>
      <c r="G21" s="47"/>
    </row>
    <row r="22" spans="1:8">
      <c r="F22" s="39"/>
      <c r="G22" s="35"/>
      <c r="H22" s="35"/>
    </row>
    <row r="23" spans="1:8" ht="18.75">
      <c r="A23" s="54" t="s">
        <v>190</v>
      </c>
      <c r="B23" s="53">
        <f>B3+B4+B5+B14+B21</f>
        <v>124578.125</v>
      </c>
      <c r="C23" t="s">
        <v>189</v>
      </c>
      <c r="D23" s="47">
        <f>SUM(D4:D22)</f>
        <v>68328.125</v>
      </c>
      <c r="F23" s="39" t="s">
        <v>192</v>
      </c>
      <c r="G23" s="47">
        <f>G8-G21*12</f>
        <v>5280</v>
      </c>
    </row>
    <row r="24" spans="1:8" ht="15.75">
      <c r="A24" s="39"/>
      <c r="F24" s="39" t="s">
        <v>191</v>
      </c>
      <c r="G24" s="47">
        <f>G23/12</f>
        <v>440</v>
      </c>
    </row>
    <row r="25" spans="1:8" ht="15.75">
      <c r="A25" s="39" t="s">
        <v>186</v>
      </c>
      <c r="B25" s="52">
        <v>135000</v>
      </c>
      <c r="F25" s="39" t="s">
        <v>188</v>
      </c>
      <c r="G25" s="47">
        <f>G19-G21*12</f>
        <v>14182.080000000002</v>
      </c>
    </row>
    <row r="26" spans="1:8" ht="15.75">
      <c r="A26" s="39" t="s">
        <v>185</v>
      </c>
      <c r="B26" s="51">
        <v>0.75</v>
      </c>
      <c r="F26" s="39" t="s">
        <v>187</v>
      </c>
      <c r="G26" s="47">
        <f>G25/12</f>
        <v>1181.8400000000001</v>
      </c>
    </row>
    <row r="27" spans="1:8" ht="15.75">
      <c r="A27"/>
    </row>
    <row r="28" spans="1:8" ht="18.75">
      <c r="A28" s="49" t="s">
        <v>182</v>
      </c>
      <c r="B28" s="48">
        <f>B25*B26</f>
        <v>101250</v>
      </c>
      <c r="F28" s="39" t="s">
        <v>184</v>
      </c>
      <c r="G28" s="50">
        <v>0.06</v>
      </c>
      <c r="H28" t="s">
        <v>183</v>
      </c>
    </row>
    <row r="29" spans="1:8" ht="15.75">
      <c r="A29" s="39"/>
      <c r="D29" t="s">
        <v>180</v>
      </c>
      <c r="F29" s="39"/>
      <c r="G29" s="38"/>
    </row>
    <row r="30" spans="1:8" ht="18.75">
      <c r="A30" s="49" t="s">
        <v>178</v>
      </c>
      <c r="B30" s="48">
        <f>B23-B28</f>
        <v>23328.125</v>
      </c>
      <c r="D30" s="47">
        <f>D23-B30</f>
        <v>45000</v>
      </c>
      <c r="F30" s="39" t="s">
        <v>181</v>
      </c>
      <c r="G30" s="42">
        <f>B28*G28</f>
        <v>6075</v>
      </c>
      <c r="H30" s="35"/>
    </row>
    <row r="31" spans="1:8" ht="15.75">
      <c r="A31"/>
      <c r="F31" s="39" t="s">
        <v>179</v>
      </c>
      <c r="G31" s="42">
        <f>G30/12</f>
        <v>506.25</v>
      </c>
    </row>
    <row r="32" spans="1:8" ht="18.75">
      <c r="A32" s="44" t="s">
        <v>176</v>
      </c>
      <c r="B32" s="46">
        <v>0</v>
      </c>
      <c r="F32" s="39"/>
    </row>
    <row r="33" spans="1:7" ht="18.75">
      <c r="A33" s="44" t="s">
        <v>174</v>
      </c>
      <c r="B33" s="45">
        <f>B32*0.015</f>
        <v>0</v>
      </c>
      <c r="C33" t="s">
        <v>173</v>
      </c>
      <c r="F33" s="39" t="s">
        <v>177</v>
      </c>
      <c r="G33" s="42">
        <f>G24-G31</f>
        <v>-66.25</v>
      </c>
    </row>
    <row r="34" spans="1:7" ht="18.75">
      <c r="A34" s="44" t="s">
        <v>171</v>
      </c>
      <c r="B34" s="43">
        <f>B10</f>
        <v>500</v>
      </c>
      <c r="C34" t="s">
        <v>170</v>
      </c>
      <c r="F34" s="39" t="s">
        <v>175</v>
      </c>
      <c r="G34" s="42">
        <f>G33*12</f>
        <v>-795</v>
      </c>
    </row>
    <row r="35" spans="1:7" ht="15.75">
      <c r="A35"/>
      <c r="F35" s="39" t="s">
        <v>172</v>
      </c>
      <c r="G35" s="42">
        <f>G26-G31</f>
        <v>675.59000000000015</v>
      </c>
    </row>
    <row r="36" spans="1:7" ht="15.75">
      <c r="A36"/>
      <c r="F36" s="39" t="s">
        <v>169</v>
      </c>
      <c r="G36" s="42">
        <f>G35*12</f>
        <v>8107.0800000000017</v>
      </c>
    </row>
    <row r="37" spans="1:7">
      <c r="A37" s="187" t="s">
        <v>168</v>
      </c>
      <c r="B37" s="187"/>
      <c r="C37" s="40">
        <f>G34/B30</f>
        <v>-3.4079035498995311E-2</v>
      </c>
      <c r="F37" s="39"/>
      <c r="G37" s="42"/>
    </row>
    <row r="38" spans="1:7">
      <c r="A38" s="187" t="s">
        <v>167</v>
      </c>
      <c r="B38" s="187"/>
      <c r="C38" s="40">
        <f>G36/B30</f>
        <v>0.3475238580040188</v>
      </c>
      <c r="F38" s="39"/>
      <c r="G38" s="32"/>
    </row>
    <row r="39" spans="1:7">
      <c r="A39" s="187" t="s">
        <v>166</v>
      </c>
      <c r="B39" s="187"/>
      <c r="C39" s="41">
        <f>B32-B23-B33-B34</f>
        <v>-125078.125</v>
      </c>
    </row>
    <row r="40" spans="1:7">
      <c r="A40" s="187" t="s">
        <v>165</v>
      </c>
      <c r="B40" s="187"/>
      <c r="C40" s="40">
        <f>C39/D23/(B19/12)</f>
        <v>-2.4407348121045813</v>
      </c>
    </row>
    <row r="41" spans="1:7" ht="15.75">
      <c r="A41"/>
    </row>
    <row r="42" spans="1:7" ht="15.75">
      <c r="A42"/>
    </row>
    <row r="43" spans="1:7" ht="15.75">
      <c r="A43" s="39" t="s">
        <v>164</v>
      </c>
    </row>
    <row r="44" spans="1:7" ht="15.75">
      <c r="A44"/>
      <c r="D44" s="38"/>
    </row>
    <row r="45" spans="1:7" ht="15.75">
      <c r="A45"/>
    </row>
    <row r="46" spans="1:7" ht="15.75">
      <c r="A46"/>
    </row>
    <row r="47" spans="1:7" ht="15.75">
      <c r="A47"/>
    </row>
    <row r="48" spans="1:7" ht="15.75">
      <c r="A48"/>
    </row>
    <row r="49" spans="1:1" ht="15.75">
      <c r="A49"/>
    </row>
    <row r="50" spans="1:1" ht="15.75">
      <c r="A50"/>
    </row>
    <row r="51" spans="1:1" ht="15.75">
      <c r="A51"/>
    </row>
    <row r="52" spans="1:1" ht="15.75">
      <c r="A52"/>
    </row>
    <row r="53" spans="1:1" ht="15.75">
      <c r="A53"/>
    </row>
    <row r="54" spans="1:1" ht="15.75">
      <c r="A54"/>
    </row>
    <row r="55" spans="1:1" ht="15.75">
      <c r="A55"/>
    </row>
    <row r="56" spans="1:1" ht="15.75">
      <c r="A56"/>
    </row>
    <row r="57" spans="1:1" ht="15.75">
      <c r="A57"/>
    </row>
    <row r="58" spans="1:1" ht="15.75">
      <c r="A58"/>
    </row>
    <row r="59" spans="1:1" ht="15.75">
      <c r="A59"/>
    </row>
    <row r="60" spans="1:1" ht="15.75">
      <c r="A60"/>
    </row>
    <row r="61" spans="1:1" ht="15.75">
      <c r="A61"/>
    </row>
    <row r="62" spans="1:1" ht="15.75">
      <c r="A62"/>
    </row>
    <row r="63" spans="1:1" ht="15.75">
      <c r="A63"/>
    </row>
    <row r="64" spans="1:1" ht="15.75">
      <c r="A64"/>
    </row>
    <row r="65" spans="1:1" ht="15.75">
      <c r="A65"/>
    </row>
    <row r="66" spans="1:1" ht="15.75">
      <c r="A66"/>
    </row>
    <row r="67" spans="1:1" ht="15.75">
      <c r="A67"/>
    </row>
    <row r="68" spans="1:1" ht="15.75">
      <c r="A68"/>
    </row>
    <row r="69" spans="1:1" ht="15.75">
      <c r="A69"/>
    </row>
    <row r="70" spans="1:1" ht="15.75">
      <c r="A70"/>
    </row>
    <row r="71" spans="1:1" ht="15.75">
      <c r="A71"/>
    </row>
    <row r="72" spans="1:1" ht="15.75">
      <c r="A72"/>
    </row>
    <row r="73" spans="1:1" ht="15.75">
      <c r="A73"/>
    </row>
    <row r="74" spans="1:1" ht="15.75">
      <c r="A74"/>
    </row>
    <row r="75" spans="1:1" ht="15.75">
      <c r="A75"/>
    </row>
    <row r="76" spans="1:1" ht="15.75">
      <c r="A76"/>
    </row>
    <row r="77" spans="1:1" ht="15.75">
      <c r="A77"/>
    </row>
    <row r="78" spans="1:1" ht="15.75">
      <c r="A78"/>
    </row>
    <row r="79" spans="1:1" ht="15.75">
      <c r="A79"/>
    </row>
    <row r="80" spans="1:1" ht="15.75">
      <c r="A80"/>
    </row>
    <row r="81" spans="1:1" ht="15.75">
      <c r="A81"/>
    </row>
    <row r="82" spans="1:1" ht="15.75">
      <c r="A82"/>
    </row>
    <row r="83" spans="1:1" ht="15.75">
      <c r="A83"/>
    </row>
    <row r="84" spans="1:1" ht="15.75">
      <c r="A84"/>
    </row>
    <row r="85" spans="1:1" ht="15.75">
      <c r="A85"/>
    </row>
    <row r="86" spans="1:1" ht="15.75">
      <c r="A86"/>
    </row>
    <row r="87" spans="1:1" ht="15.75">
      <c r="A87"/>
    </row>
    <row r="88" spans="1:1" ht="15.75">
      <c r="A88"/>
    </row>
    <row r="89" spans="1:1" ht="15.75">
      <c r="A89"/>
    </row>
    <row r="90" spans="1:1" ht="15.75">
      <c r="A90"/>
    </row>
    <row r="91" spans="1:1" ht="15.75">
      <c r="A91"/>
    </row>
  </sheetData>
  <mergeCells count="6">
    <mergeCell ref="A40:B40"/>
    <mergeCell ref="B1:D1"/>
    <mergeCell ref="F10:H10"/>
    <mergeCell ref="A37:B37"/>
    <mergeCell ref="A38:B38"/>
    <mergeCell ref="A39:B39"/>
  </mergeCells>
  <pageMargins left="0.75" right="0.75" top="1" bottom="1" header="0.5" footer="0.5"/>
  <pageSetup paperSize="9" scale="5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Quick Deal Analysis</vt:lpstr>
      <vt:lpstr>Master</vt:lpstr>
      <vt:lpstr>Glossary</vt:lpstr>
      <vt:lpstr>Master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rajla</dc:creator>
  <cp:lastModifiedBy>rajla</cp:lastModifiedBy>
  <dcterms:created xsi:type="dcterms:W3CDTF">2020-12-04T09:09:58Z</dcterms:created>
  <dcterms:modified xsi:type="dcterms:W3CDTF">2021-05-10T09:05:36Z</dcterms:modified>
</cp:coreProperties>
</file>